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autoCompressPictures="0" defaultThemeVersion="124226"/>
  <bookViews>
    <workbookView xWindow="-25605" yWindow="-4140" windowWidth="25680" windowHeight="16440" tabRatio="953"/>
  </bookViews>
  <sheets>
    <sheet name="Readme" sheetId="38" r:id="rId1"/>
    <sheet name="Scenarios Output" sheetId="23" r:id="rId2"/>
    <sheet name="Variables" sheetId="1" r:id="rId3"/>
    <sheet name="Grass Processing" sheetId="16" r:id="rId4"/>
    <sheet name="1.Output" sheetId="28" r:id="rId5"/>
    <sheet name="1.Financial Output" sheetId="34" r:id="rId6"/>
    <sheet name="1.Machine Processing" sheetId="17" r:id="rId7"/>
    <sheet name="1.Process Cost-Benefit" sheetId="18" r:id="rId8"/>
    <sheet name="2.Output " sheetId="29" r:id="rId9"/>
    <sheet name="2.Financial Output" sheetId="35" r:id="rId10"/>
    <sheet name="2.Machine Processing" sheetId="9" r:id="rId11"/>
    <sheet name="2.Process Cost-Benefit" sheetId="8" r:id="rId12"/>
    <sheet name="3.Output " sheetId="32" r:id="rId13"/>
    <sheet name="3.Financial Output " sheetId="36" r:id="rId14"/>
    <sheet name="3.Machine Processing " sheetId="26" r:id="rId15"/>
    <sheet name="3.Process Cost-Benefit" sheetId="27" r:id="rId16"/>
  </sheets>
  <definedNames>
    <definedName name="_Toc393906061" localSheetId="0">Readme!$B$2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9" i="27" l="1"/>
  <c r="F16" i="27"/>
  <c r="F23" i="27"/>
  <c r="F29" i="27"/>
  <c r="F36" i="27"/>
  <c r="F43" i="27"/>
  <c r="F50" i="27"/>
  <c r="F58" i="27"/>
  <c r="F64" i="27"/>
  <c r="E8" i="32"/>
  <c r="F71" i="27"/>
  <c r="E9" i="32"/>
  <c r="E10" i="32"/>
  <c r="E28" i="32"/>
  <c r="D36" i="36"/>
  <c r="D37" i="36"/>
  <c r="D48" i="36"/>
  <c r="E18" i="16"/>
  <c r="E24" i="16"/>
  <c r="E10" i="26"/>
  <c r="H75" i="26"/>
  <c r="I7" i="26"/>
  <c r="E111" i="1"/>
  <c r="I68" i="27"/>
  <c r="G24" i="32"/>
  <c r="E23" i="16"/>
  <c r="E9" i="26"/>
  <c r="E16" i="26"/>
  <c r="E19" i="26"/>
  <c r="H16" i="26"/>
  <c r="E22" i="26"/>
  <c r="H22" i="26"/>
  <c r="I3" i="26"/>
  <c r="E115" i="1"/>
  <c r="I20" i="27"/>
  <c r="G25" i="32"/>
  <c r="K23" i="26"/>
  <c r="H23" i="26"/>
  <c r="E29" i="26"/>
  <c r="H29" i="26"/>
  <c r="E35" i="26"/>
  <c r="H35" i="26"/>
  <c r="H36" i="26"/>
  <c r="E43" i="26"/>
  <c r="K44" i="26"/>
  <c r="H44" i="26"/>
  <c r="E49" i="26"/>
  <c r="H49" i="26"/>
  <c r="E57" i="26"/>
  <c r="H57" i="26"/>
  <c r="I5" i="26"/>
  <c r="I55" i="27"/>
  <c r="G26" i="32"/>
  <c r="G28" i="32"/>
  <c r="E7" i="36"/>
  <c r="E9" i="1"/>
  <c r="H13" i="27"/>
  <c r="F17" i="32"/>
  <c r="E62" i="26"/>
  <c r="E63" i="26"/>
  <c r="H54" i="27"/>
  <c r="F18" i="32"/>
  <c r="E10" i="1"/>
  <c r="H73" i="27"/>
  <c r="F21" i="32"/>
  <c r="H74" i="27"/>
  <c r="F22" i="32"/>
  <c r="E9" i="36"/>
  <c r="E10" i="36"/>
  <c r="F13" i="32"/>
  <c r="F14" i="32"/>
  <c r="E21" i="16"/>
  <c r="E83" i="26"/>
  <c r="G70" i="27"/>
  <c r="F15" i="32"/>
  <c r="H12" i="27"/>
  <c r="E26" i="26"/>
  <c r="H19" i="27"/>
  <c r="E32" i="26"/>
  <c r="H26" i="27"/>
  <c r="E39" i="26"/>
  <c r="H32" i="27"/>
  <c r="E46" i="26"/>
  <c r="H39" i="27"/>
  <c r="E53" i="26"/>
  <c r="H46" i="27"/>
  <c r="E61" i="26"/>
  <c r="H53" i="27"/>
  <c r="H50" i="26"/>
  <c r="E67" i="26"/>
  <c r="H67" i="26"/>
  <c r="E75" i="26"/>
  <c r="E79" i="26"/>
  <c r="H61" i="27"/>
  <c r="H67" i="27"/>
  <c r="F19" i="32"/>
  <c r="E18" i="26"/>
  <c r="H11" i="27"/>
  <c r="E25" i="26"/>
  <c r="H18" i="27"/>
  <c r="E31" i="26"/>
  <c r="H25" i="27"/>
  <c r="E38" i="26"/>
  <c r="H31" i="27"/>
  <c r="E45" i="26"/>
  <c r="H38" i="27"/>
  <c r="E52" i="26"/>
  <c r="H45" i="27"/>
  <c r="E60" i="26"/>
  <c r="H52" i="27"/>
  <c r="E78" i="26"/>
  <c r="H60" i="27"/>
  <c r="H66" i="27"/>
  <c r="F20" i="32"/>
  <c r="E12" i="36"/>
  <c r="E13" i="36"/>
  <c r="G10" i="27"/>
  <c r="G17" i="27"/>
  <c r="G24" i="27"/>
  <c r="G30" i="27"/>
  <c r="G37" i="27"/>
  <c r="G44" i="27"/>
  <c r="G51" i="27"/>
  <c r="G59" i="27"/>
  <c r="G65" i="27"/>
  <c r="F12" i="32"/>
  <c r="E15" i="36"/>
  <c r="E16" i="36"/>
  <c r="E19" i="36"/>
  <c r="E21" i="36"/>
  <c r="E22" i="36"/>
  <c r="E30" i="36"/>
  <c r="E32" i="36"/>
  <c r="E33" i="36"/>
  <c r="E48" i="36"/>
  <c r="F7" i="36"/>
  <c r="F9" i="36"/>
  <c r="F10" i="36"/>
  <c r="F12" i="36"/>
  <c r="F13" i="36"/>
  <c r="F15" i="36"/>
  <c r="F16" i="36"/>
  <c r="F19" i="36"/>
  <c r="F21" i="36"/>
  <c r="F22" i="36"/>
  <c r="F30" i="36"/>
  <c r="F32" i="36"/>
  <c r="F33" i="36"/>
  <c r="F48" i="36"/>
  <c r="G7" i="36"/>
  <c r="G9" i="36"/>
  <c r="G10" i="36"/>
  <c r="G12" i="36"/>
  <c r="G13" i="36"/>
  <c r="G15" i="36"/>
  <c r="G16" i="36"/>
  <c r="G19" i="36"/>
  <c r="G21" i="36"/>
  <c r="G22" i="36"/>
  <c r="G30" i="36"/>
  <c r="G32" i="36"/>
  <c r="G33" i="36"/>
  <c r="G48" i="36"/>
  <c r="H7" i="36"/>
  <c r="H9" i="36"/>
  <c r="H10" i="36"/>
  <c r="H12" i="36"/>
  <c r="H13" i="36"/>
  <c r="H15" i="36"/>
  <c r="H16" i="36"/>
  <c r="H19" i="36"/>
  <c r="H21" i="36"/>
  <c r="H22" i="36"/>
  <c r="H30" i="36"/>
  <c r="H32" i="36"/>
  <c r="H33" i="36"/>
  <c r="H48" i="36"/>
  <c r="I7" i="36"/>
  <c r="I9" i="36"/>
  <c r="I10" i="36"/>
  <c r="I12" i="36"/>
  <c r="I13" i="36"/>
  <c r="I15" i="36"/>
  <c r="I16" i="36"/>
  <c r="I19" i="36"/>
  <c r="I21" i="36"/>
  <c r="I22" i="36"/>
  <c r="I30" i="36"/>
  <c r="I32" i="36"/>
  <c r="I33" i="36"/>
  <c r="I48" i="36"/>
  <c r="J7" i="36"/>
  <c r="J9" i="36"/>
  <c r="J10" i="36"/>
  <c r="J12" i="36"/>
  <c r="J13" i="36"/>
  <c r="J15" i="36"/>
  <c r="J16" i="36"/>
  <c r="J19" i="36"/>
  <c r="J21" i="36"/>
  <c r="J22" i="36"/>
  <c r="J30" i="36"/>
  <c r="J32" i="36"/>
  <c r="J33" i="36"/>
  <c r="J48" i="36"/>
  <c r="K7" i="36"/>
  <c r="K9" i="36"/>
  <c r="K10" i="36"/>
  <c r="K12" i="36"/>
  <c r="K13" i="36"/>
  <c r="K15" i="36"/>
  <c r="K16" i="36"/>
  <c r="K19" i="36"/>
  <c r="K21" i="36"/>
  <c r="K22" i="36"/>
  <c r="K30" i="36"/>
  <c r="K32" i="36"/>
  <c r="K33" i="36"/>
  <c r="K48" i="36"/>
  <c r="D53" i="36"/>
  <c r="F11" i="8"/>
  <c r="F18" i="8"/>
  <c r="F25" i="8"/>
  <c r="F31" i="8"/>
  <c r="F38" i="8"/>
  <c r="F44" i="8"/>
  <c r="F51" i="8"/>
  <c r="E8" i="29"/>
  <c r="F60" i="8"/>
  <c r="E9" i="29"/>
  <c r="E10" i="29"/>
  <c r="E28" i="29"/>
  <c r="D36" i="35"/>
  <c r="D37" i="35"/>
  <c r="D48" i="35"/>
  <c r="E10" i="9"/>
  <c r="H50" i="9"/>
  <c r="I5" i="9"/>
  <c r="E110" i="1"/>
  <c r="I48" i="8"/>
  <c r="G24" i="29"/>
  <c r="E11" i="9"/>
  <c r="E17" i="9"/>
  <c r="E20" i="9"/>
  <c r="H17" i="9"/>
  <c r="E23" i="9"/>
  <c r="H23" i="9"/>
  <c r="I3" i="9"/>
  <c r="I22" i="8"/>
  <c r="G25" i="29"/>
  <c r="K24" i="9"/>
  <c r="H24" i="9"/>
  <c r="E30" i="9"/>
  <c r="H30" i="9"/>
  <c r="E36" i="9"/>
  <c r="H36" i="9"/>
  <c r="H37" i="9"/>
  <c r="E44" i="9"/>
  <c r="H44" i="9"/>
  <c r="E50" i="9"/>
  <c r="H51" i="9"/>
  <c r="E58" i="9"/>
  <c r="H58" i="9"/>
  <c r="I6" i="9"/>
  <c r="I56" i="8"/>
  <c r="G26" i="29"/>
  <c r="G28" i="29"/>
  <c r="E7" i="35"/>
  <c r="H15" i="8"/>
  <c r="F17" i="29"/>
  <c r="E63" i="9"/>
  <c r="E64" i="9"/>
  <c r="H55" i="8"/>
  <c r="F18" i="29"/>
  <c r="H62" i="8"/>
  <c r="F21" i="29"/>
  <c r="H63" i="8"/>
  <c r="F22" i="29"/>
  <c r="E9" i="35"/>
  <c r="E10" i="35"/>
  <c r="F13" i="29"/>
  <c r="F14" i="29"/>
  <c r="E67" i="9"/>
  <c r="G59" i="8"/>
  <c r="F15" i="29"/>
  <c r="H14" i="8"/>
  <c r="E33" i="9"/>
  <c r="H29" i="8"/>
  <c r="E40" i="9"/>
  <c r="H34" i="8"/>
  <c r="E47" i="9"/>
  <c r="H41" i="8"/>
  <c r="E54" i="9"/>
  <c r="H47" i="8"/>
  <c r="E62" i="9"/>
  <c r="H54" i="8"/>
  <c r="F19" i="29"/>
  <c r="E19" i="9"/>
  <c r="H13" i="8"/>
  <c r="E26" i="9"/>
  <c r="H20" i="8"/>
  <c r="E32" i="9"/>
  <c r="H28" i="8"/>
  <c r="E39" i="9"/>
  <c r="H33" i="8"/>
  <c r="E46" i="9"/>
  <c r="H40" i="8"/>
  <c r="E53" i="9"/>
  <c r="H46" i="8"/>
  <c r="E61" i="9"/>
  <c r="H53" i="8"/>
  <c r="F20" i="29"/>
  <c r="E12" i="35"/>
  <c r="E13" i="35"/>
  <c r="G12" i="8"/>
  <c r="G19" i="8"/>
  <c r="G26" i="8"/>
  <c r="G32" i="8"/>
  <c r="G39" i="8"/>
  <c r="G45" i="8"/>
  <c r="G52" i="8"/>
  <c r="F12" i="29"/>
  <c r="E15" i="35"/>
  <c r="E16" i="35"/>
  <c r="E19" i="35"/>
  <c r="E21" i="35"/>
  <c r="E22" i="35"/>
  <c r="E30" i="35"/>
  <c r="E32" i="35"/>
  <c r="E33" i="35"/>
  <c r="E48" i="35"/>
  <c r="F7" i="35"/>
  <c r="F9" i="35"/>
  <c r="F10" i="35"/>
  <c r="F12" i="35"/>
  <c r="F13" i="35"/>
  <c r="F15" i="35"/>
  <c r="F16" i="35"/>
  <c r="F19" i="35"/>
  <c r="F21" i="35"/>
  <c r="F22" i="35"/>
  <c r="F30" i="35"/>
  <c r="F32" i="35"/>
  <c r="F33" i="35"/>
  <c r="F48" i="35"/>
  <c r="G7" i="35"/>
  <c r="G9" i="35"/>
  <c r="G10" i="35"/>
  <c r="G12" i="35"/>
  <c r="G13" i="35"/>
  <c r="G15" i="35"/>
  <c r="G16" i="35"/>
  <c r="G19" i="35"/>
  <c r="G21" i="35"/>
  <c r="G22" i="35"/>
  <c r="G30" i="35"/>
  <c r="G32" i="35"/>
  <c r="G33" i="35"/>
  <c r="G48" i="35"/>
  <c r="H7" i="35"/>
  <c r="H9" i="35"/>
  <c r="H10" i="35"/>
  <c r="H12" i="35"/>
  <c r="H13" i="35"/>
  <c r="H15" i="35"/>
  <c r="H16" i="35"/>
  <c r="H19" i="35"/>
  <c r="H21" i="35"/>
  <c r="H22" i="35"/>
  <c r="H30" i="35"/>
  <c r="H32" i="35"/>
  <c r="H33" i="35"/>
  <c r="H48" i="35"/>
  <c r="I7" i="35"/>
  <c r="I9" i="35"/>
  <c r="I10" i="35"/>
  <c r="I12" i="35"/>
  <c r="I13" i="35"/>
  <c r="I15" i="35"/>
  <c r="I16" i="35"/>
  <c r="I19" i="35"/>
  <c r="I21" i="35"/>
  <c r="I22" i="35"/>
  <c r="I30" i="35"/>
  <c r="I32" i="35"/>
  <c r="I33" i="35"/>
  <c r="I48" i="35"/>
  <c r="J7" i="35"/>
  <c r="J9" i="35"/>
  <c r="J10" i="35"/>
  <c r="J12" i="35"/>
  <c r="J13" i="35"/>
  <c r="J15" i="35"/>
  <c r="J16" i="35"/>
  <c r="J19" i="35"/>
  <c r="J21" i="35"/>
  <c r="J22" i="35"/>
  <c r="J30" i="35"/>
  <c r="J32" i="35"/>
  <c r="J33" i="35"/>
  <c r="J48" i="35"/>
  <c r="K7" i="35"/>
  <c r="K9" i="35"/>
  <c r="K10" i="35"/>
  <c r="K12" i="35"/>
  <c r="K13" i="35"/>
  <c r="K15" i="35"/>
  <c r="K16" i="35"/>
  <c r="K19" i="35"/>
  <c r="K21" i="35"/>
  <c r="K22" i="35"/>
  <c r="K30" i="35"/>
  <c r="K32" i="35"/>
  <c r="K33" i="35"/>
  <c r="K48" i="35"/>
  <c r="D53" i="35"/>
  <c r="D30" i="34"/>
  <c r="F11" i="18"/>
  <c r="F17" i="18"/>
  <c r="F24" i="18"/>
  <c r="F30" i="18"/>
  <c r="E8" i="28"/>
  <c r="F38" i="18"/>
  <c r="F39" i="18"/>
  <c r="E9" i="28"/>
  <c r="E23" i="28"/>
  <c r="D36" i="34"/>
  <c r="D37" i="34"/>
  <c r="D48" i="34"/>
  <c r="F23" i="16"/>
  <c r="E7" i="17"/>
  <c r="E14" i="17"/>
  <c r="H14" i="17"/>
  <c r="E20" i="17"/>
  <c r="H20" i="17"/>
  <c r="H21" i="17"/>
  <c r="E27" i="17"/>
  <c r="H27" i="17"/>
  <c r="E33" i="17"/>
  <c r="H33" i="17"/>
  <c r="I4" i="17"/>
  <c r="E109" i="1"/>
  <c r="I34" i="18"/>
  <c r="G20" i="28"/>
  <c r="I3" i="17"/>
  <c r="E113" i="1"/>
  <c r="I21" i="18"/>
  <c r="G21" i="28"/>
  <c r="G23" i="28"/>
  <c r="E7" i="34"/>
  <c r="E8" i="1"/>
  <c r="F18" i="16"/>
  <c r="F24" i="16"/>
  <c r="E8" i="17"/>
  <c r="H13" i="18"/>
  <c r="F16" i="28"/>
  <c r="E9" i="34"/>
  <c r="E10" i="34"/>
  <c r="F12" i="28"/>
  <c r="F13" i="28"/>
  <c r="F21" i="16"/>
  <c r="E40" i="17"/>
  <c r="G37" i="18"/>
  <c r="F14" i="28"/>
  <c r="E16" i="17"/>
  <c r="H14" i="18"/>
  <c r="E23" i="17"/>
  <c r="H19" i="18"/>
  <c r="E36" i="17"/>
  <c r="H32" i="18"/>
  <c r="E29" i="17"/>
  <c r="H26" i="18"/>
  <c r="F18" i="28"/>
  <c r="E17" i="17"/>
  <c r="H15" i="18"/>
  <c r="E24" i="17"/>
  <c r="H20" i="18"/>
  <c r="E30" i="17"/>
  <c r="H27" i="18"/>
  <c r="E37" i="17"/>
  <c r="H33" i="18"/>
  <c r="F17" i="28"/>
  <c r="E12" i="34"/>
  <c r="E13" i="34"/>
  <c r="G12" i="18"/>
  <c r="G18" i="18"/>
  <c r="G25" i="18"/>
  <c r="G31" i="18"/>
  <c r="F11" i="28"/>
  <c r="E15" i="34"/>
  <c r="E16" i="34"/>
  <c r="E19" i="34"/>
  <c r="E21" i="34"/>
  <c r="E22" i="34"/>
  <c r="E30" i="34"/>
  <c r="E32" i="34"/>
  <c r="E33" i="34"/>
  <c r="E48" i="34"/>
  <c r="F7" i="34"/>
  <c r="F9" i="34"/>
  <c r="F10" i="34"/>
  <c r="F12" i="34"/>
  <c r="F13" i="34"/>
  <c r="F15" i="34"/>
  <c r="F16" i="34"/>
  <c r="F19" i="34"/>
  <c r="F21" i="34"/>
  <c r="F22" i="34"/>
  <c r="F30" i="34"/>
  <c r="F32" i="34"/>
  <c r="F33" i="34"/>
  <c r="F48" i="34"/>
  <c r="G7" i="34"/>
  <c r="G9" i="34"/>
  <c r="G10" i="34"/>
  <c r="G12" i="34"/>
  <c r="G13" i="34"/>
  <c r="G15" i="34"/>
  <c r="G16" i="34"/>
  <c r="G19" i="34"/>
  <c r="G21" i="34"/>
  <c r="G22" i="34"/>
  <c r="G30" i="34"/>
  <c r="G32" i="34"/>
  <c r="G33" i="34"/>
  <c r="G48" i="34"/>
  <c r="H7" i="34"/>
  <c r="H9" i="34"/>
  <c r="H10" i="34"/>
  <c r="H12" i="34"/>
  <c r="H13" i="34"/>
  <c r="H15" i="34"/>
  <c r="H16" i="34"/>
  <c r="H19" i="34"/>
  <c r="H21" i="34"/>
  <c r="H22" i="34"/>
  <c r="H30" i="34"/>
  <c r="H32" i="34"/>
  <c r="H33" i="34"/>
  <c r="H48" i="34"/>
  <c r="I7" i="34"/>
  <c r="I9" i="34"/>
  <c r="I10" i="34"/>
  <c r="I12" i="34"/>
  <c r="I13" i="34"/>
  <c r="I15" i="34"/>
  <c r="I16" i="34"/>
  <c r="I19" i="34"/>
  <c r="I21" i="34"/>
  <c r="I22" i="34"/>
  <c r="I30" i="34"/>
  <c r="I32" i="34"/>
  <c r="I33" i="34"/>
  <c r="I48" i="34"/>
  <c r="J7" i="34"/>
  <c r="J9" i="34"/>
  <c r="J10" i="34"/>
  <c r="J12" i="34"/>
  <c r="J13" i="34"/>
  <c r="J15" i="34"/>
  <c r="J16" i="34"/>
  <c r="J19" i="34"/>
  <c r="J21" i="34"/>
  <c r="J22" i="34"/>
  <c r="J30" i="34"/>
  <c r="J32" i="34"/>
  <c r="J33" i="34"/>
  <c r="J48" i="34"/>
  <c r="K7" i="34"/>
  <c r="K9" i="34"/>
  <c r="K10" i="34"/>
  <c r="K12" i="34"/>
  <c r="K13" i="34"/>
  <c r="K15" i="34"/>
  <c r="K16" i="34"/>
  <c r="K19" i="34"/>
  <c r="K21" i="34"/>
  <c r="K22" i="34"/>
  <c r="K30" i="34"/>
  <c r="K32" i="34"/>
  <c r="K33" i="34"/>
  <c r="K48" i="34"/>
  <c r="D53" i="34"/>
  <c r="L13" i="23"/>
  <c r="H13" i="23"/>
  <c r="D13" i="23"/>
  <c r="D11" i="23"/>
  <c r="L10" i="23"/>
  <c r="H10" i="23"/>
  <c r="D10" i="23"/>
  <c r="D54" i="36"/>
  <c r="D52" i="36"/>
  <c r="D54" i="35"/>
  <c r="D52" i="35"/>
  <c r="D54" i="34"/>
  <c r="D52" i="34"/>
  <c r="H58" i="26"/>
  <c r="I6" i="26"/>
  <c r="H56" i="27"/>
  <c r="H59" i="9"/>
  <c r="I7" i="9"/>
  <c r="H57" i="8"/>
  <c r="H43" i="26"/>
  <c r="I4" i="26"/>
  <c r="H33" i="27"/>
  <c r="I4" i="9"/>
  <c r="H35" i="8"/>
  <c r="E27" i="9"/>
  <c r="H21" i="8"/>
  <c r="L14" i="23"/>
  <c r="L12" i="23"/>
  <c r="H14" i="23"/>
  <c r="D14" i="23"/>
  <c r="F3" i="26"/>
  <c r="D32" i="34"/>
  <c r="F28" i="32"/>
  <c r="D31" i="32"/>
  <c r="D30" i="32"/>
  <c r="D42" i="36"/>
  <c r="D33" i="36"/>
  <c r="D44" i="36"/>
  <c r="D46" i="36"/>
  <c r="E42" i="36"/>
  <c r="E37" i="36"/>
  <c r="E44" i="36"/>
  <c r="E46" i="36"/>
  <c r="F42" i="36"/>
  <c r="F37" i="36"/>
  <c r="F44" i="36"/>
  <c r="F46" i="36"/>
  <c r="G42" i="36"/>
  <c r="G37" i="36"/>
  <c r="G44" i="36"/>
  <c r="G46" i="36"/>
  <c r="H42" i="36"/>
  <c r="H37" i="36"/>
  <c r="H44" i="36"/>
  <c r="H46" i="36"/>
  <c r="I42" i="36"/>
  <c r="I37" i="36"/>
  <c r="I44" i="36"/>
  <c r="I46" i="36"/>
  <c r="J42" i="36"/>
  <c r="J37" i="36"/>
  <c r="J44" i="36"/>
  <c r="J46" i="36"/>
  <c r="K42" i="36"/>
  <c r="K37" i="36"/>
  <c r="K44" i="36"/>
  <c r="K46" i="36"/>
  <c r="D10" i="36"/>
  <c r="D13" i="36"/>
  <c r="D16" i="36"/>
  <c r="D19" i="36"/>
  <c r="D22" i="36"/>
  <c r="H12" i="23"/>
  <c r="D10" i="35"/>
  <c r="D13" i="35"/>
  <c r="D16" i="35"/>
  <c r="D19" i="35"/>
  <c r="D22" i="35"/>
  <c r="F28" i="29"/>
  <c r="D31" i="29"/>
  <c r="D30" i="29"/>
  <c r="D22" i="34"/>
  <c r="D25" i="28"/>
  <c r="D42" i="35"/>
  <c r="D33" i="35"/>
  <c r="D44" i="35"/>
  <c r="D46" i="35"/>
  <c r="E42" i="35"/>
  <c r="E37" i="35"/>
  <c r="E44" i="35"/>
  <c r="E46" i="35"/>
  <c r="F42" i="35"/>
  <c r="F37" i="35"/>
  <c r="F44" i="35"/>
  <c r="F46" i="35"/>
  <c r="G42" i="35"/>
  <c r="G37" i="35"/>
  <c r="G44" i="35"/>
  <c r="G46" i="35"/>
  <c r="H42" i="35"/>
  <c r="H37" i="35"/>
  <c r="H44" i="35"/>
  <c r="H46" i="35"/>
  <c r="I42" i="35"/>
  <c r="I37" i="35"/>
  <c r="I44" i="35"/>
  <c r="I46" i="35"/>
  <c r="J42" i="35"/>
  <c r="J37" i="35"/>
  <c r="J44" i="35"/>
  <c r="J46" i="35"/>
  <c r="K42" i="35"/>
  <c r="K37" i="35"/>
  <c r="K44" i="35"/>
  <c r="K46" i="35"/>
  <c r="D12" i="23"/>
  <c r="E42" i="34"/>
  <c r="E37" i="34"/>
  <c r="E44" i="34"/>
  <c r="D33" i="34"/>
  <c r="D42" i="34"/>
  <c r="D44" i="34"/>
  <c r="D46" i="34"/>
  <c r="E46" i="34"/>
  <c r="F42" i="34"/>
  <c r="F37" i="34"/>
  <c r="F44" i="34"/>
  <c r="F46" i="34"/>
  <c r="G42" i="34"/>
  <c r="G37" i="34"/>
  <c r="G44" i="34"/>
  <c r="G46" i="34"/>
  <c r="H42" i="34"/>
  <c r="H37" i="34"/>
  <c r="H44" i="34"/>
  <c r="H46" i="34"/>
  <c r="I42" i="34"/>
  <c r="I37" i="34"/>
  <c r="I44" i="34"/>
  <c r="I46" i="34"/>
  <c r="J42" i="34"/>
  <c r="J37" i="34"/>
  <c r="J44" i="34"/>
  <c r="J46" i="34"/>
  <c r="K42" i="34"/>
  <c r="K37" i="34"/>
  <c r="K44" i="34"/>
  <c r="K46" i="34"/>
  <c r="L11" i="23"/>
  <c r="L9" i="23"/>
  <c r="H11" i="23"/>
  <c r="H9" i="23"/>
  <c r="D9" i="23"/>
  <c r="D32" i="32"/>
  <c r="E71" i="26"/>
  <c r="E70" i="26"/>
  <c r="K58" i="26"/>
  <c r="D27" i="28"/>
  <c r="D32" i="29"/>
  <c r="H34" i="17"/>
  <c r="I5" i="17"/>
  <c r="K34" i="17"/>
  <c r="K21" i="17"/>
  <c r="F23" i="28"/>
  <c r="D26" i="28"/>
  <c r="E101" i="1"/>
  <c r="I76" i="27"/>
  <c r="H76" i="27"/>
  <c r="G76" i="27"/>
  <c r="F76" i="27"/>
  <c r="K50" i="26"/>
  <c r="K36" i="26"/>
  <c r="K59" i="9"/>
  <c r="K37" i="9"/>
  <c r="D9" i="16"/>
  <c r="D11" i="16"/>
  <c r="E9" i="16"/>
  <c r="E11" i="16"/>
  <c r="I41" i="18"/>
  <c r="H41" i="18"/>
  <c r="G41" i="18"/>
  <c r="F41" i="18"/>
  <c r="F3" i="17"/>
  <c r="H65" i="8"/>
  <c r="F3" i="9"/>
  <c r="I65" i="8"/>
  <c r="G65" i="8"/>
  <c r="F65" i="8"/>
</calcChain>
</file>

<file path=xl/comments1.xml><?xml version="1.0" encoding="utf-8"?>
<comments xmlns="http://schemas.openxmlformats.org/spreadsheetml/2006/main">
  <authors>
    <author>Author</author>
  </authors>
  <commentList>
    <comment ref="C9" authorId="0">
      <text>
        <r>
          <rPr>
            <b/>
            <sz val="9"/>
            <color indexed="81"/>
            <rFont val="Calibri"/>
            <family val="2"/>
          </rPr>
          <t>Author:</t>
        </r>
        <r>
          <rPr>
            <sz val="9"/>
            <color indexed="81"/>
            <rFont val="Calibri"/>
            <family val="2"/>
          </rPr>
          <t xml:space="preserve">
The COGS represent the costs that are incurred by the production of the goods. In this case these are the costs for grass, chemicals, transport and storage. </t>
        </r>
      </text>
    </comment>
    <comment ref="C12" authorId="0">
      <text>
        <r>
          <rPr>
            <b/>
            <sz val="9"/>
            <color indexed="81"/>
            <rFont val="Calibri"/>
            <family val="2"/>
          </rPr>
          <t>Author:</t>
        </r>
        <r>
          <rPr>
            <sz val="9"/>
            <color indexed="81"/>
            <rFont val="Calibri"/>
            <family val="2"/>
          </rPr>
          <t xml:space="preserve">
The OPEX are the costs that are made to keep a business running. For this project maintenance, research and development, labour, water and energy are considered as OPEX. </t>
        </r>
      </text>
    </comment>
    <comment ref="C13" authorId="0">
      <text>
        <r>
          <rPr>
            <sz val="11"/>
            <color theme="1"/>
            <rFont val="Calibri"/>
            <family val="2"/>
            <scheme val="minor"/>
          </rPr>
          <t>Author:</t>
        </r>
        <r>
          <rPr>
            <sz val="9"/>
            <color indexed="81"/>
            <rFont val="Calibri"/>
            <family val="2"/>
          </rPr>
          <t xml:space="preserve">
Earnings before interest and taxes and depreciation and amortization
</t>
        </r>
      </text>
    </comment>
    <comment ref="C16" authorId="0">
      <text>
        <r>
          <rPr>
            <sz val="11"/>
            <color theme="1"/>
            <rFont val="Calibri"/>
            <family val="2"/>
            <scheme val="minor"/>
          </rPr>
          <t>Author:</t>
        </r>
        <r>
          <rPr>
            <sz val="9"/>
            <color indexed="81"/>
            <rFont val="Calibri"/>
            <family val="2"/>
          </rPr>
          <t xml:space="preserve">
Earnings before interest and taxes
</t>
        </r>
      </text>
    </comment>
  </commentList>
</comments>
</file>

<file path=xl/sharedStrings.xml><?xml version="1.0" encoding="utf-8"?>
<sst xmlns="http://schemas.openxmlformats.org/spreadsheetml/2006/main" count="1321" uniqueCount="394">
  <si>
    <t>Costs</t>
  </si>
  <si>
    <t>Grass</t>
  </si>
  <si>
    <t>Grass transport</t>
  </si>
  <si>
    <t>Benefits</t>
  </si>
  <si>
    <t>Protein</t>
  </si>
  <si>
    <t>Unit</t>
  </si>
  <si>
    <t>Transport of side-products</t>
  </si>
  <si>
    <t>Location</t>
  </si>
  <si>
    <t>€/kg</t>
  </si>
  <si>
    <t>€</t>
  </si>
  <si>
    <t>€/kWh</t>
  </si>
  <si>
    <t>€/m3</t>
  </si>
  <si>
    <t>http://statline.cbs.nl/StatWeb/publication/?DM=SLNL&amp;PA=81774ned&amp;D1=a&amp;D2=0&amp;D3=a&amp;VW=T</t>
  </si>
  <si>
    <t>aminoacids</t>
  </si>
  <si>
    <t>Product</t>
  </si>
  <si>
    <t>http://grondstoffencursus.nl/cursus/cursus_home/oliehoudendezaden/87#</t>
  </si>
  <si>
    <t>Fermentation</t>
  </si>
  <si>
    <t>Other</t>
  </si>
  <si>
    <t>€/year</t>
  </si>
  <si>
    <t>€/kg DM</t>
  </si>
  <si>
    <t>Value</t>
  </si>
  <si>
    <t>Energy</t>
  </si>
  <si>
    <t>Water</t>
  </si>
  <si>
    <t>Labor</t>
  </si>
  <si>
    <t>Output</t>
  </si>
  <si>
    <t>Category</t>
  </si>
  <si>
    <t>Item</t>
  </si>
  <si>
    <t>Investment</t>
  </si>
  <si>
    <t>Chemicals</t>
  </si>
  <si>
    <t>Process</t>
  </si>
  <si>
    <t>Depreciation</t>
  </si>
  <si>
    <t>Total</t>
  </si>
  <si>
    <t>Variables and assumptions</t>
  </si>
  <si>
    <t>Comments</t>
  </si>
  <si>
    <t>Source</t>
  </si>
  <si>
    <t>Cost</t>
  </si>
  <si>
    <t xml:space="preserve">Labor </t>
  </si>
  <si>
    <t xml:space="preserve">Water </t>
  </si>
  <si>
    <t>Quantity</t>
  </si>
  <si>
    <t>kg</t>
  </si>
  <si>
    <t>Calculations</t>
  </si>
  <si>
    <t>Input/Assumptions</t>
  </si>
  <si>
    <t>Linked Cells</t>
  </si>
  <si>
    <t>Legend:</t>
  </si>
  <si>
    <t>Steps</t>
  </si>
  <si>
    <t>kWh</t>
  </si>
  <si>
    <t>m3</t>
  </si>
  <si>
    <t>fte</t>
  </si>
  <si>
    <t xml:space="preserve">Energy </t>
  </si>
  <si>
    <t>Input</t>
  </si>
  <si>
    <t>Ouput</t>
  </si>
  <si>
    <t>Raw materials</t>
  </si>
  <si>
    <t>Step 1: Refiner</t>
  </si>
  <si>
    <t>Step 2: Press</t>
  </si>
  <si>
    <t>Grass Juice</t>
  </si>
  <si>
    <t>Step 4: Decanter</t>
  </si>
  <si>
    <t>(4 kWh/ton)</t>
  </si>
  <si>
    <t>Struvite</t>
  </si>
  <si>
    <t>Waste Water</t>
  </si>
  <si>
    <t>END Products</t>
  </si>
  <si>
    <t>Step 3: Heating (&gt;50°C)</t>
  </si>
  <si>
    <t>Include step</t>
  </si>
  <si>
    <t>1/0</t>
  </si>
  <si>
    <t>Machine</t>
  </si>
  <si>
    <t>(€/year)</t>
  </si>
  <si>
    <t xml:space="preserve">Fixed cost </t>
  </si>
  <si>
    <t>Low</t>
  </si>
  <si>
    <t>Amount of Grass to be processed (# grass):</t>
  </si>
  <si>
    <t>(€/ # grass)</t>
  </si>
  <si>
    <t>Energy use</t>
  </si>
  <si>
    <t>Water use</t>
  </si>
  <si>
    <t>kWh/ton</t>
  </si>
  <si>
    <t>m3/ton</t>
  </si>
  <si>
    <t>Machine 1: Refiner</t>
  </si>
  <si>
    <t>Machine 2: Press</t>
  </si>
  <si>
    <t>Machine 4: Decanter</t>
  </si>
  <si>
    <t>http://www.alfa.nl/Nieuws/Pages/Optimalisatie-teelt-eigen-ruwvoer.aspx</t>
  </si>
  <si>
    <t>Numbers for transport 7km by truck or wagon. For longer distances (more than 6 to 7 km) a truck is cheaper and more appropriate.</t>
  </si>
  <si>
    <t>Galama, P., &amp; Bosma, B. (2010). Schaalvergroting in kleinschalig landschap.</t>
  </si>
  <si>
    <t>Including all taxes, of which some might be recoverable. Data from excel file "energy prices industrie", sheet 7 (23-5).</t>
  </si>
  <si>
    <t>Prices differ between watercompanies. Furthermore, prices are lower for companies than for individuals. No NL industry prices could be found.</t>
  </si>
  <si>
    <t>http://epp.eurostat.ec.europa.eu/portal/page/portal/energy/data/database</t>
  </si>
  <si>
    <t>VEWIN Tarievenonverzicht drinkwater 2013</t>
  </si>
  <si>
    <t>Assumed to be zero due to already existing locations of FrieslandCampina.</t>
  </si>
  <si>
    <t>%/year</t>
  </si>
  <si>
    <t>€/ton</t>
  </si>
  <si>
    <t>Numbers from M. Adriaanse (KCPK)</t>
  </si>
  <si>
    <t>Based on presentation of Courage</t>
  </si>
  <si>
    <t>http://www.icis.com/resources/news/2003/04/07/193401/prices-gain-momentum-in-feed-grade-methionine-market/
http://en.engormix.com/MA-feed-machinery/formulation/articles/crude-oil-prices-its-effects-on-feed-additives-t1670/800-p0.htm</t>
  </si>
  <si>
    <t>Grass processing</t>
  </si>
  <si>
    <t>Machines on</t>
  </si>
  <si>
    <t>Total # processed grass/year</t>
  </si>
  <si>
    <t>Machine Processing</t>
  </si>
  <si>
    <t>In- and output quantities</t>
  </si>
  <si>
    <t>Quantity/Price</t>
  </si>
  <si>
    <t>Price/unit, Quantity/unit</t>
  </si>
  <si>
    <t>Cost &amp; Benefits</t>
  </si>
  <si>
    <t>Overall</t>
  </si>
  <si>
    <t>fte/year</t>
  </si>
  <si>
    <t>OUT</t>
  </si>
  <si>
    <t>IN</t>
  </si>
  <si>
    <t>Albert vd Padt</t>
  </si>
  <si>
    <t>EBITDA</t>
  </si>
  <si>
    <t>EBIT</t>
  </si>
  <si>
    <t>Pre-tax result (EBT)</t>
  </si>
  <si>
    <t>Financial Output</t>
  </si>
  <si>
    <t>END Products/quantities</t>
  </si>
  <si>
    <t>Cost of goods sold (COGS)</t>
  </si>
  <si>
    <t>Operating expenditure (OPEX)</t>
  </si>
  <si>
    <t>Depreciaton</t>
  </si>
  <si>
    <t>Gross Profit</t>
  </si>
  <si>
    <t>Interest Expenses</t>
  </si>
  <si>
    <t>Transportation grass</t>
  </si>
  <si>
    <t xml:space="preserve">Location </t>
  </si>
  <si>
    <t>Assumption for rebuilding the location</t>
  </si>
  <si>
    <t>Central Refinery</t>
  </si>
  <si>
    <t>Mobile refinery</t>
  </si>
  <si>
    <t>Composition</t>
  </si>
  <si>
    <t>Wet silage grass</t>
  </si>
  <si>
    <t xml:space="preserve">kg </t>
  </si>
  <si>
    <t>Quantities</t>
  </si>
  <si>
    <t>Fresh grass</t>
  </si>
  <si>
    <r>
      <t>Fresh g</t>
    </r>
    <r>
      <rPr>
        <sz val="12"/>
        <color theme="1"/>
        <rFont val="Calibri"/>
        <family val="2"/>
        <scheme val="minor"/>
      </rPr>
      <t>rass</t>
    </r>
  </si>
  <si>
    <r>
      <rPr>
        <sz val="12"/>
        <color theme="1"/>
        <rFont val="Calibri"/>
        <family val="2"/>
        <scheme val="minor"/>
      </rPr>
      <t>Fresh g</t>
    </r>
    <r>
      <rPr>
        <sz val="12"/>
        <color theme="1"/>
        <rFont val="Calibri"/>
        <family val="2"/>
        <scheme val="minor"/>
      </rPr>
      <t>rass</t>
    </r>
  </si>
  <si>
    <t>Dumping waste water</t>
  </si>
  <si>
    <t>Scenario 1</t>
  </si>
  <si>
    <t>Scenario 2</t>
  </si>
  <si>
    <t>Machine 3: Heating (&lt; 50°C)</t>
  </si>
  <si>
    <t>Scenario 3</t>
  </si>
  <si>
    <t>Machine 5: Plate centrifuge</t>
  </si>
  <si>
    <t>Machine 5: Heating (&gt; 50°C)</t>
  </si>
  <si>
    <t>Step 3: Heating (&lt;50°C)</t>
  </si>
  <si>
    <t>Step 4: Decanter I</t>
  </si>
  <si>
    <t>Step 5: Heating (&gt; 50°C)</t>
  </si>
  <si>
    <t>Step 6: Decanter II</t>
  </si>
  <si>
    <t>Step 7: Precipitation</t>
  </si>
  <si>
    <t>Assumptions</t>
  </si>
  <si>
    <t>Waste solids</t>
  </si>
  <si>
    <t>Step 3: Heating  (&lt;50°C)</t>
  </si>
  <si>
    <t xml:space="preserve">Protein Product </t>
  </si>
  <si>
    <t>Step 5: Heating  (&gt;50°C)</t>
  </si>
  <si>
    <t>Step 7:Precipitation</t>
  </si>
  <si>
    <t>Protein product</t>
  </si>
  <si>
    <t>Protein Product</t>
  </si>
  <si>
    <t>Waste water</t>
  </si>
  <si>
    <t>Based on protein product (non functional)</t>
  </si>
  <si>
    <t>Step 1: Extruder</t>
  </si>
  <si>
    <t>Step 5: Plate centrifuge</t>
  </si>
  <si>
    <t>Step 6: Ultrafiltration</t>
  </si>
  <si>
    <t>Step 5: Plate Centrifuge</t>
  </si>
  <si>
    <t>Dumping waste solids</t>
  </si>
  <si>
    <t>Scenario Output</t>
  </si>
  <si>
    <t>IRR</t>
  </si>
  <si>
    <t>Variables</t>
  </si>
  <si>
    <t>Grass price</t>
  </si>
  <si>
    <t>Silage grass</t>
  </si>
  <si>
    <t>Protein price</t>
  </si>
  <si>
    <t>Feed</t>
  </si>
  <si>
    <t>Human non-functional</t>
  </si>
  <si>
    <t>Human functional</t>
  </si>
  <si>
    <r>
      <t>€/</t>
    </r>
    <r>
      <rPr>
        <sz val="12"/>
        <color theme="1"/>
        <rFont val="Calibri"/>
        <family val="2"/>
        <scheme val="minor"/>
      </rPr>
      <t>ton</t>
    </r>
    <r>
      <rPr>
        <sz val="12"/>
        <color theme="1"/>
        <rFont val="Calibri"/>
        <family val="2"/>
        <scheme val="minor"/>
      </rPr>
      <t xml:space="preserve"> DM</t>
    </r>
  </si>
  <si>
    <t>Linked Cells (From Scenarios Output)</t>
  </si>
  <si>
    <t>Scenario 3: 'Central Functional Protein'</t>
  </si>
  <si>
    <t>Scenario 1: 'Mobile Feed'</t>
  </si>
  <si>
    <t>Scenario 2: 'Central non-Functional Protein'</t>
  </si>
  <si>
    <t>Rapport Extrudertest VITO Diksmuide: http://www.inverde.be/content/kennis-gras/rapport_extrudertest_Diksmuide_VITO.pdf</t>
  </si>
  <si>
    <t>Variable cost</t>
  </si>
  <si>
    <t>Feed grade protein</t>
  </si>
  <si>
    <t>Food grade protein</t>
  </si>
  <si>
    <t>Functional food grade protein</t>
  </si>
  <si>
    <t>Dry Fibre</t>
  </si>
  <si>
    <t>Insulation material</t>
  </si>
  <si>
    <t>http://www.bpsag.ch/pdf/Publication%20OECD.pdf, S. Grass (2004)</t>
  </si>
  <si>
    <t>Fibre boards</t>
  </si>
  <si>
    <t>-</t>
  </si>
  <si>
    <t>(Side)- products</t>
  </si>
  <si>
    <t>Permeate</t>
  </si>
  <si>
    <t>(keeffe, Schulte, Sanders &amp; Struik, 2011)</t>
  </si>
  <si>
    <t>Machinery</t>
  </si>
  <si>
    <t>Material &amp; Equipment</t>
  </si>
  <si>
    <t>Maintenance</t>
  </si>
  <si>
    <t>Labour</t>
  </si>
  <si>
    <t>Research, engineering and development costs</t>
  </si>
  <si>
    <t>Dry fibre fraction</t>
  </si>
  <si>
    <t>DM = Dry Matter</t>
  </si>
  <si>
    <t>FM = Fresh Matter</t>
  </si>
  <si>
    <t>Grass (silage)</t>
  </si>
  <si>
    <t>€/ton DM</t>
  </si>
  <si>
    <t>Other material and equipent</t>
  </si>
  <si>
    <t>https://www.balktrade.com/containers/8-1x-40ft-12-meter-zeecontainer-in-goede-staat-opslag-of-export-e-1-250/</t>
  </si>
  <si>
    <t>3 containers needed (based on Grassa)</t>
  </si>
  <si>
    <t>Assume 10% of investment</t>
  </si>
  <si>
    <t>Assume 10 % of investment: Only first year</t>
  </si>
  <si>
    <t>MgO</t>
  </si>
  <si>
    <t>Alibaba.com</t>
  </si>
  <si>
    <t>Protein storage</t>
  </si>
  <si>
    <t>Fibre product storage</t>
  </si>
  <si>
    <t>Storage for average of 1-2 months</t>
  </si>
  <si>
    <t xml:space="preserve"> </t>
  </si>
  <si>
    <t>Machine 7.2: Column chromatography</t>
  </si>
  <si>
    <t>Machine 8.2: Spray drying</t>
  </si>
  <si>
    <t>Machine 7.1: Precipitation</t>
  </si>
  <si>
    <t>Step 7.1: Phosphate precipitation</t>
  </si>
  <si>
    <t>Juice</t>
  </si>
  <si>
    <t>Step 7.2: Column chromatography</t>
  </si>
  <si>
    <t>Sruvite</t>
  </si>
  <si>
    <t>Step 7.1: Precipitation</t>
  </si>
  <si>
    <t>Step 8.2: Spray drying</t>
  </si>
  <si>
    <t>Bron: Voith, persoonlijke communicatie</t>
  </si>
  <si>
    <t xml:space="preserve">http://www.dryingplant.com/Dewatering-Screw-Press-p31.html , http://www.fsaconsulting.net/pdfs/Case%20Study%207%20-%20Screw%20Press.pdf </t>
  </si>
  <si>
    <t xml:space="preserve">: http://www.fsaconsulting.net/pdfs/Case%20Study%2010%20-%20Centrifuge.pdf </t>
  </si>
  <si>
    <t>W. Koschuh, S. Kromus, C. Krotscheck (2003) Grüne Bioraffinerie – Gewinnung von Proteinen aus Grassäften, Nachhaltig Wirtschaften)</t>
  </si>
  <si>
    <t>Grass (fresh grass)</t>
  </si>
  <si>
    <t>€/ton DM month</t>
  </si>
  <si>
    <t>Machine 3: Heating(&gt; 50°C)</t>
  </si>
  <si>
    <t>Machine 4: Decanter I</t>
  </si>
  <si>
    <t>Machine 6: Decanter II</t>
  </si>
  <si>
    <t>Machine 7: Precipitation</t>
  </si>
  <si>
    <t>Machine 1: Extruder</t>
  </si>
  <si>
    <t>Machine 6: Ultrafiltration</t>
  </si>
  <si>
    <t>Cardboard/paper</t>
  </si>
  <si>
    <t>Needs to be checked</t>
  </si>
  <si>
    <t>Investments (€)</t>
  </si>
  <si>
    <t xml:space="preserve"> Year 1</t>
  </si>
  <si>
    <t xml:space="preserve"> Year 2</t>
  </si>
  <si>
    <t xml:space="preserve"> Year 3</t>
  </si>
  <si>
    <t xml:space="preserve"> Year 4</t>
  </si>
  <si>
    <t xml:space="preserve"> Year 5</t>
  </si>
  <si>
    <t xml:space="preserve"> Year 6</t>
  </si>
  <si>
    <t xml:space="preserve"> Year 7</t>
  </si>
  <si>
    <t>Gross Revenue</t>
  </si>
  <si>
    <t>Cash flow statement</t>
  </si>
  <si>
    <t>Profit &amp; Loss Statement - Income Statement</t>
  </si>
  <si>
    <t>Cash flow from Operation Activities</t>
  </si>
  <si>
    <t>Net Income</t>
  </si>
  <si>
    <t>Net cash flow by operating activities</t>
  </si>
  <si>
    <t>Cash flow from Investing Activities</t>
  </si>
  <si>
    <t>Capital expenditures</t>
  </si>
  <si>
    <t>Net cash flow by investing activities</t>
  </si>
  <si>
    <t>Cash flow of Financing activities</t>
  </si>
  <si>
    <t>Payments of long-term debts</t>
  </si>
  <si>
    <t>Dividends</t>
  </si>
  <si>
    <t>Net cash flow by financing activities</t>
  </si>
  <si>
    <t>Adjustments:</t>
  </si>
  <si>
    <t>Net cash increase/decrease</t>
  </si>
  <si>
    <t>Assume no loan from the bank</t>
  </si>
  <si>
    <r>
      <t>Corporate taxes  (</t>
    </r>
    <r>
      <rPr>
        <sz val="12"/>
        <color theme="1"/>
        <rFont val="Calibri"/>
        <family val="2"/>
        <scheme val="minor"/>
      </rPr>
      <t>25%-</t>
    </r>
    <r>
      <rPr>
        <sz val="12"/>
        <color theme="1"/>
        <rFont val="Calibri"/>
        <family val="2"/>
        <scheme val="minor"/>
      </rPr>
      <t>20%)</t>
    </r>
  </si>
  <si>
    <t>0% over &lt;= 0, 20% over &lt; 200.000, 25% over rest</t>
  </si>
  <si>
    <t>Cumulative net cash flow</t>
  </si>
  <si>
    <t>Cumulative FC flow</t>
  </si>
  <si>
    <t>NPV</t>
  </si>
  <si>
    <t>EBIT year 1</t>
  </si>
  <si>
    <t xml:space="preserve"> Year 0</t>
  </si>
  <si>
    <t>Annual discount rate</t>
  </si>
  <si>
    <r>
      <t>Free Cash Flow</t>
    </r>
    <r>
      <rPr>
        <i/>
        <sz val="12"/>
        <color rgb="FF000000"/>
        <rFont val="Calibri"/>
        <scheme val="minor"/>
      </rPr>
      <t xml:space="preserve"> </t>
    </r>
  </si>
  <si>
    <t>The discount rate indicates the risk that comes with the investment</t>
  </si>
  <si>
    <t>Investment (€)</t>
  </si>
  <si>
    <t>Transport grass</t>
  </si>
  <si>
    <t>Investment year 0</t>
  </si>
  <si>
    <t>Sea containers for storage and transport of machinery</t>
  </si>
  <si>
    <t>Fibre fraction</t>
  </si>
  <si>
    <t>Insulation</t>
  </si>
  <si>
    <t>€/fte</t>
  </si>
  <si>
    <t>Fresh grass is used for Mobile, Silage grass for Central</t>
  </si>
  <si>
    <t>Assumption</t>
  </si>
  <si>
    <t>Grassa! + (keeffe, Schulte, Sanders &amp; Struik, 2011)</t>
  </si>
  <si>
    <r>
      <t>Remaining 6 weeks will be for maintenance and repair of system</t>
    </r>
    <r>
      <rPr>
        <sz val="12"/>
        <color theme="1"/>
        <rFont val="Calibri"/>
        <family val="2"/>
        <scheme val="minor"/>
      </rPr>
      <t>||</t>
    </r>
    <r>
      <rPr>
        <sz val="12"/>
        <color theme="1"/>
        <rFont val="Calibri"/>
        <family val="2"/>
        <scheme val="minor"/>
      </rPr>
      <t xml:space="preserve"> 5 m</t>
    </r>
    <r>
      <rPr>
        <sz val="12"/>
        <color theme="1"/>
        <rFont val="Calibri"/>
        <family val="2"/>
        <scheme val="minor"/>
      </rPr>
      <t>onths fresh grass per year</t>
    </r>
  </si>
  <si>
    <r>
      <t>kg/</t>
    </r>
    <r>
      <rPr>
        <sz val="12"/>
        <color theme="1"/>
        <rFont val="Calibri"/>
        <family val="2"/>
        <scheme val="minor"/>
      </rPr>
      <t xml:space="preserve"> FM grass/ hour</t>
    </r>
  </si>
  <si>
    <t>kg/ DM grass/ hour</t>
  </si>
  <si>
    <t>Fte's</t>
  </si>
  <si>
    <r>
      <t xml:space="preserve">Weeks/ </t>
    </r>
    <r>
      <rPr>
        <sz val="12"/>
        <color theme="1"/>
        <rFont val="Calibri"/>
        <family val="2"/>
        <scheme val="minor"/>
      </rPr>
      <t>year</t>
    </r>
  </si>
  <si>
    <r>
      <t xml:space="preserve">Hours/ </t>
    </r>
    <r>
      <rPr>
        <sz val="12"/>
        <color theme="1"/>
        <rFont val="Calibri"/>
        <family val="2"/>
        <scheme val="minor"/>
      </rPr>
      <t>week</t>
    </r>
  </si>
  <si>
    <t>Wet silage: &lt; 35% DM. Here assumed 30% DM || Fresh grass 16,3%</t>
  </si>
  <si>
    <t>http://edepot.wur.nl/7625 || CVB tabellenboekje</t>
  </si>
  <si>
    <t>Dry Matter (DM)</t>
  </si>
  <si>
    <t>Total Fresh Matter (FM)</t>
  </si>
  <si>
    <t>kg grass DM/ year</t>
  </si>
  <si>
    <t>kg grass FM/ year</t>
  </si>
  <si>
    <r>
      <t>Assumption for pipelines for connecting machinery etc. (</t>
    </r>
    <r>
      <rPr>
        <sz val="12"/>
        <color theme="1"/>
        <rFont val="Calibri"/>
        <family val="2"/>
        <scheme val="minor"/>
      </rPr>
      <t>1</t>
    </r>
    <r>
      <rPr>
        <sz val="12"/>
        <color theme="1"/>
        <rFont val="Calibri"/>
        <family val="2"/>
        <scheme val="minor"/>
      </rPr>
      <t>5</t>
    </r>
    <r>
      <rPr>
        <sz val="12"/>
        <color theme="1"/>
        <rFont val="Calibri"/>
        <family val="2"/>
        <scheme val="minor"/>
      </rPr>
      <t>0</t>
    </r>
    <r>
      <rPr>
        <sz val="12"/>
        <color theme="1"/>
        <rFont val="Calibri"/>
        <family val="2"/>
        <scheme val="minor"/>
      </rPr>
      <t>%</t>
    </r>
    <r>
      <rPr>
        <sz val="12"/>
        <color theme="1"/>
        <rFont val="Calibri"/>
        <family val="2"/>
        <scheme val="minor"/>
      </rPr>
      <t xml:space="preserve"> * machinery cost</t>
    </r>
    <r>
      <rPr>
        <sz val="12"/>
        <color theme="1"/>
        <rFont val="Calibri"/>
        <family val="2"/>
        <scheme val="minor"/>
      </rPr>
      <t>)</t>
    </r>
  </si>
  <si>
    <r>
      <t>kg DM grass/</t>
    </r>
    <r>
      <rPr>
        <sz val="12"/>
        <color theme="1"/>
        <rFont val="Calibri"/>
        <family val="2"/>
        <scheme val="minor"/>
      </rPr>
      <t xml:space="preserve"> </t>
    </r>
    <r>
      <rPr>
        <sz val="12"/>
        <color theme="1"/>
        <rFont val="Calibri"/>
        <family val="2"/>
        <scheme val="minor"/>
      </rPr>
      <t>year</t>
    </r>
  </si>
  <si>
    <r>
      <t>kg FM</t>
    </r>
    <r>
      <rPr>
        <sz val="12"/>
        <color theme="1"/>
        <rFont val="Calibri"/>
        <family val="2"/>
        <scheme val="minor"/>
      </rPr>
      <t xml:space="preserve"> grass/</t>
    </r>
    <r>
      <rPr>
        <sz val="12"/>
        <color theme="1"/>
        <rFont val="Calibri"/>
        <family val="2"/>
        <scheme val="minor"/>
      </rPr>
      <t xml:space="preserve"> </t>
    </r>
    <r>
      <rPr>
        <sz val="12"/>
        <color theme="1"/>
        <rFont val="Calibri"/>
        <family val="2"/>
        <scheme val="minor"/>
      </rPr>
      <t>year</t>
    </r>
  </si>
  <si>
    <t>kg FM</t>
  </si>
  <si>
    <t># grass := Total quantity of grass processed per year. This quantity can be found on sheet 'Grass Processing'</t>
  </si>
  <si>
    <t>Step 3: Heating (50°C)</t>
  </si>
  <si>
    <t>(€)</t>
  </si>
  <si>
    <r>
      <t>EBIT</t>
    </r>
    <r>
      <rPr>
        <sz val="12"/>
        <color rgb="FF000000"/>
        <rFont val="Calibri"/>
        <family val="2"/>
        <scheme val="minor"/>
      </rPr>
      <t>(Earning Before Interest and Taxes)</t>
    </r>
  </si>
  <si>
    <r>
      <t xml:space="preserve">EBIT </t>
    </r>
    <r>
      <rPr>
        <sz val="12"/>
        <color rgb="FF000000"/>
        <rFont val="Calibri"/>
        <family val="2"/>
        <scheme val="minor"/>
      </rPr>
      <t>(Earning Before Interest and Taxes)</t>
    </r>
  </si>
  <si>
    <t>150% of machinery cost</t>
  </si>
  <si>
    <t>Material and equipment</t>
  </si>
  <si>
    <r>
      <t xml:space="preserve">Investment costs </t>
    </r>
    <r>
      <rPr>
        <b/>
        <sz val="12"/>
        <color rgb="FF000000"/>
        <rFont val="Calibri"/>
        <family val="2"/>
        <scheme val="minor"/>
      </rPr>
      <t xml:space="preserve">(€) </t>
    </r>
    <r>
      <rPr>
        <sz val="12"/>
        <color rgb="FF000000"/>
        <rFont val="Calibri"/>
        <family val="2"/>
        <scheme val="minor"/>
      </rPr>
      <t>in year 0</t>
    </r>
    <r>
      <rPr>
        <b/>
        <sz val="12"/>
        <color rgb="FF000000"/>
        <rFont val="Calibri"/>
        <family val="2"/>
        <scheme val="minor"/>
      </rPr>
      <t xml:space="preserve"> </t>
    </r>
    <r>
      <rPr>
        <sz val="12"/>
        <color rgb="FF000000"/>
        <rFont val="Calibri"/>
        <family val="2"/>
        <scheme val="minor"/>
      </rPr>
      <t xml:space="preserve">&amp; Cost-Benefit </t>
    </r>
    <r>
      <rPr>
        <b/>
        <sz val="12"/>
        <color rgb="FF000000"/>
        <rFont val="Calibri"/>
        <family val="2"/>
        <scheme val="minor"/>
      </rPr>
      <t>(€/ year)</t>
    </r>
    <r>
      <rPr>
        <sz val="12"/>
        <color rgb="FF000000"/>
        <rFont val="Calibri"/>
        <family val="2"/>
        <scheme val="minor"/>
      </rPr>
      <t xml:space="preserve"> </t>
    </r>
  </si>
  <si>
    <r>
      <t>Fixed costs (€/</t>
    </r>
    <r>
      <rPr>
        <sz val="12"/>
        <color theme="1"/>
        <rFont val="Calibri"/>
        <family val="2"/>
        <scheme val="minor"/>
      </rPr>
      <t>year</t>
    </r>
    <r>
      <rPr>
        <sz val="12"/>
        <color theme="1"/>
        <rFont val="Calibri"/>
        <family val="2"/>
        <scheme val="minor"/>
      </rPr>
      <t>)</t>
    </r>
  </si>
  <si>
    <r>
      <t>Variable costs (€/</t>
    </r>
    <r>
      <rPr>
        <sz val="12"/>
        <color theme="1"/>
        <rFont val="Calibri"/>
        <family val="2"/>
        <scheme val="minor"/>
      </rPr>
      <t>year</t>
    </r>
    <r>
      <rPr>
        <sz val="12"/>
        <color theme="1"/>
        <rFont val="Calibri"/>
        <family val="2"/>
        <scheme val="minor"/>
      </rPr>
      <t>)</t>
    </r>
  </si>
  <si>
    <r>
      <t>Benefits (€/</t>
    </r>
    <r>
      <rPr>
        <sz val="12"/>
        <color theme="1"/>
        <rFont val="Calibri"/>
        <family val="2"/>
        <scheme val="minor"/>
      </rPr>
      <t>year</t>
    </r>
    <r>
      <rPr>
        <sz val="12"/>
        <color theme="1"/>
        <rFont val="Calibri"/>
        <family val="2"/>
        <scheme val="minor"/>
      </rPr>
      <t>)</t>
    </r>
  </si>
  <si>
    <t>Running Cost (€/year)</t>
  </si>
  <si>
    <t>Benefits (€/year)</t>
  </si>
  <si>
    <t>ROI</t>
  </si>
  <si>
    <t>NPV = Net present value of this investment</t>
  </si>
  <si>
    <t>ROI = Return on Investment := Net profit/Investment cost</t>
  </si>
  <si>
    <t>FCF = (Net income + depreciation - Capital Expenditure)</t>
  </si>
  <si>
    <r>
      <t>Variable costs (€/</t>
    </r>
    <r>
      <rPr>
        <sz val="12"/>
        <color theme="1"/>
        <rFont val="Calibri"/>
        <family val="2"/>
        <scheme val="minor"/>
      </rPr>
      <t>ye</t>
    </r>
    <r>
      <rPr>
        <sz val="12"/>
        <color theme="1"/>
        <rFont val="Calibri"/>
        <family val="2"/>
        <scheme val="minor"/>
      </rPr>
      <t>a</t>
    </r>
    <r>
      <rPr>
        <sz val="12"/>
        <color theme="1"/>
        <rFont val="Calibri"/>
        <family val="2"/>
        <scheme val="minor"/>
      </rPr>
      <t>r</t>
    </r>
    <r>
      <rPr>
        <sz val="12"/>
        <color theme="1"/>
        <rFont val="Calibri"/>
        <family val="2"/>
        <scheme val="minor"/>
      </rPr>
      <t>)</t>
    </r>
  </si>
  <si>
    <r>
      <t>Benefits (€/</t>
    </r>
    <r>
      <rPr>
        <sz val="12"/>
        <color theme="1"/>
        <rFont val="Calibri"/>
        <family val="2"/>
        <scheme val="minor"/>
      </rPr>
      <t>ye</t>
    </r>
    <r>
      <rPr>
        <sz val="12"/>
        <color theme="1"/>
        <rFont val="Calibri"/>
        <family val="2"/>
        <scheme val="minor"/>
      </rPr>
      <t>a</t>
    </r>
    <r>
      <rPr>
        <sz val="12"/>
        <color theme="1"/>
        <rFont val="Calibri"/>
        <family val="2"/>
        <scheme val="minor"/>
      </rPr>
      <t>r</t>
    </r>
    <r>
      <rPr>
        <sz val="12"/>
        <color theme="1"/>
        <rFont val="Calibri"/>
        <family val="2"/>
        <scheme val="minor"/>
      </rPr>
      <t>)</t>
    </r>
  </si>
  <si>
    <r>
      <t>Assumption for pipelines for connecting machinery etc. (</t>
    </r>
    <r>
      <rPr>
        <sz val="12"/>
        <color theme="1"/>
        <rFont val="Calibri"/>
        <family val="2"/>
        <scheme val="minor"/>
      </rPr>
      <t>1</t>
    </r>
    <r>
      <rPr>
        <sz val="12"/>
        <color theme="1"/>
        <rFont val="Calibri"/>
        <family val="2"/>
        <scheme val="minor"/>
      </rPr>
      <t>5</t>
    </r>
    <r>
      <rPr>
        <sz val="12"/>
        <color theme="1"/>
        <rFont val="Calibri"/>
        <family val="2"/>
        <scheme val="minor"/>
      </rPr>
      <t>0</t>
    </r>
    <r>
      <rPr>
        <sz val="12"/>
        <color theme="1"/>
        <rFont val="Calibri"/>
        <family val="2"/>
        <scheme val="minor"/>
      </rPr>
      <t>%</t>
    </r>
    <r>
      <rPr>
        <sz val="12"/>
        <color theme="1"/>
        <rFont val="Calibri"/>
        <family val="2"/>
        <scheme val="minor"/>
      </rPr>
      <t xml:space="preserve"> * machinery cost</t>
    </r>
    <r>
      <rPr>
        <sz val="12"/>
        <color theme="1"/>
        <rFont val="Calibri"/>
        <family val="2"/>
        <scheme val="minor"/>
      </rPr>
      <t>)</t>
    </r>
  </si>
  <si>
    <r>
      <t xml:space="preserve">Investment costs </t>
    </r>
    <r>
      <rPr>
        <b/>
        <sz val="12"/>
        <color rgb="FF000000"/>
        <rFont val="Calibri"/>
        <family val="2"/>
        <scheme val="minor"/>
      </rPr>
      <t xml:space="preserve">(€) </t>
    </r>
    <r>
      <rPr>
        <sz val="12"/>
        <color rgb="FF000000"/>
        <rFont val="Calibri"/>
        <family val="2"/>
        <scheme val="minor"/>
      </rPr>
      <t>in year 0</t>
    </r>
    <r>
      <rPr>
        <b/>
        <sz val="12"/>
        <color rgb="FF000000"/>
        <rFont val="Calibri"/>
        <family val="2"/>
        <scheme val="minor"/>
      </rPr>
      <t xml:space="preserve"> </t>
    </r>
    <r>
      <rPr>
        <sz val="12"/>
        <color rgb="FF000000"/>
        <rFont val="Calibri"/>
        <family val="2"/>
        <scheme val="minor"/>
      </rPr>
      <t xml:space="preserve">&amp; Cost-Benefit </t>
    </r>
    <r>
      <rPr>
        <b/>
        <sz val="12"/>
        <color rgb="FF000000"/>
        <rFont val="Calibri"/>
        <family val="2"/>
        <scheme val="minor"/>
      </rPr>
      <t>(€/year)</t>
    </r>
    <r>
      <rPr>
        <sz val="12"/>
        <color rgb="FF000000"/>
        <rFont val="Calibri"/>
        <family val="2"/>
        <scheme val="minor"/>
      </rPr>
      <t xml:space="preserve"> </t>
    </r>
  </si>
  <si>
    <t>Source: (keeffe, Schulte, Sanders &amp; Struik, 2011)</t>
  </si>
  <si>
    <t>Net Profit (Net Income)</t>
  </si>
  <si>
    <r>
      <t xml:space="preserve">kg </t>
    </r>
    <r>
      <rPr>
        <sz val="12"/>
        <color theme="1"/>
        <rFont val="Calibri"/>
        <family val="2"/>
        <scheme val="minor"/>
      </rPr>
      <t>FM grass</t>
    </r>
    <r>
      <rPr>
        <sz val="12"/>
        <color theme="1"/>
        <rFont val="Calibri"/>
        <family val="2"/>
        <scheme val="minor"/>
      </rPr>
      <t>/year</t>
    </r>
  </si>
  <si>
    <r>
      <t>kg DM</t>
    </r>
    <r>
      <rPr>
        <sz val="12"/>
        <color theme="1"/>
        <rFont val="Calibri"/>
        <family val="2"/>
        <scheme val="minor"/>
      </rPr>
      <t xml:space="preserve"> grass/year</t>
    </r>
  </si>
  <si>
    <r>
      <t xml:space="preserve">Want to dilute to </t>
    </r>
    <r>
      <rPr>
        <sz val="12"/>
        <color theme="1"/>
        <rFont val="Calibri"/>
        <family val="2"/>
        <scheme val="minor"/>
      </rPr>
      <t>16,3</t>
    </r>
    <r>
      <rPr>
        <sz val="12"/>
        <color theme="1"/>
        <rFont val="Calibri"/>
        <family val="2"/>
        <scheme val="minor"/>
      </rPr>
      <t>% (i.e. DM% of 1</t>
    </r>
    <r>
      <rPr>
        <sz val="12"/>
        <color theme="1"/>
        <rFont val="Calibri"/>
        <family val="2"/>
        <scheme val="minor"/>
      </rPr>
      <t>6,3</t>
    </r>
    <r>
      <rPr>
        <sz val="12"/>
        <color theme="1"/>
        <rFont val="Calibri"/>
        <family val="2"/>
        <scheme val="minor"/>
      </rPr>
      <t>%), so kg H2O needed=% DM * (kg grass FM) / % DM you want - (kg grass FM)</t>
    </r>
  </si>
  <si>
    <t>Grass + H2O</t>
  </si>
  <si>
    <t>Cost &amp; Benefits (€)</t>
  </si>
  <si>
    <r>
      <t>Fixed costs (€/</t>
    </r>
    <r>
      <rPr>
        <sz val="12"/>
        <color theme="1"/>
        <rFont val="Calibri"/>
        <family val="2"/>
        <scheme val="minor"/>
      </rPr>
      <t>ye</t>
    </r>
    <r>
      <rPr>
        <sz val="12"/>
        <color theme="1"/>
        <rFont val="Calibri"/>
        <family val="2"/>
        <scheme val="minor"/>
      </rPr>
      <t>a</t>
    </r>
    <r>
      <rPr>
        <sz val="12"/>
        <color theme="1"/>
        <rFont val="Calibri"/>
        <family val="2"/>
        <scheme val="minor"/>
      </rPr>
      <t>r</t>
    </r>
    <r>
      <rPr>
        <sz val="12"/>
        <color theme="1"/>
        <rFont val="Calibri"/>
        <family val="2"/>
        <scheme val="minor"/>
      </rPr>
      <t>)</t>
    </r>
  </si>
  <si>
    <r>
      <t>Grass</t>
    </r>
    <r>
      <rPr>
        <sz val="12"/>
        <color theme="1"/>
        <rFont val="Calibri"/>
        <family val="2"/>
        <scheme val="minor"/>
      </rPr>
      <t xml:space="preserve"> + H2O</t>
    </r>
  </si>
  <si>
    <r>
      <t>kg DM</t>
    </r>
    <r>
      <rPr>
        <sz val="12"/>
        <color theme="1"/>
        <rFont val="Calibri"/>
        <family val="2"/>
        <scheme val="minor"/>
      </rPr>
      <t xml:space="preserve"> grass/ year</t>
    </r>
  </si>
  <si>
    <r>
      <t>kg FM gras</t>
    </r>
    <r>
      <rPr>
        <sz val="12"/>
        <color theme="1"/>
        <rFont val="Calibri"/>
        <family val="2"/>
        <scheme val="minor"/>
      </rPr>
      <t>s/</t>
    </r>
    <r>
      <rPr>
        <sz val="12"/>
        <color theme="1"/>
        <rFont val="Calibri"/>
        <family val="2"/>
        <scheme val="minor"/>
      </rPr>
      <t xml:space="preserve"> </t>
    </r>
    <r>
      <rPr>
        <sz val="12"/>
        <color theme="1"/>
        <rFont val="Calibri"/>
        <family val="2"/>
        <scheme val="minor"/>
      </rPr>
      <t>year</t>
    </r>
  </si>
  <si>
    <r>
      <t xml:space="preserve">Want to dilute to </t>
    </r>
    <r>
      <rPr>
        <sz val="12"/>
        <color theme="1"/>
        <rFont val="Calibri"/>
        <family val="2"/>
        <scheme val="minor"/>
      </rPr>
      <t>16,3</t>
    </r>
    <r>
      <rPr>
        <sz val="12"/>
        <color theme="1"/>
        <rFont val="Calibri"/>
        <family val="2"/>
        <scheme val="minor"/>
      </rPr>
      <t>% (i.e. DM% of 1</t>
    </r>
    <r>
      <rPr>
        <sz val="12"/>
        <color theme="1"/>
        <rFont val="Calibri"/>
        <family val="2"/>
        <scheme val="minor"/>
      </rPr>
      <t>6,3</t>
    </r>
    <r>
      <rPr>
        <sz val="12"/>
        <color theme="1"/>
        <rFont val="Calibri"/>
        <family val="2"/>
        <scheme val="minor"/>
      </rPr>
      <t>%), so kg H2O needed=% DM * (kg grass FM) / % DM you want - (kg grass FM)</t>
    </r>
  </si>
  <si>
    <r>
      <t xml:space="preserve">silage </t>
    </r>
    <r>
      <rPr>
        <sz val="12"/>
        <color theme="1"/>
        <rFont val="Calibri"/>
        <family val="2"/>
        <scheme val="minor"/>
      </rPr>
      <t>grass</t>
    </r>
  </si>
  <si>
    <r>
      <rPr>
        <sz val="12"/>
        <color theme="1"/>
        <rFont val="Calibri"/>
        <family val="2"/>
        <scheme val="minor"/>
      </rPr>
      <t>Silage</t>
    </r>
    <r>
      <rPr>
        <sz val="12"/>
        <color theme="1"/>
        <rFont val="Calibri"/>
        <family val="2"/>
        <scheme val="minor"/>
      </rPr>
      <t xml:space="preserve"> grass</t>
    </r>
  </si>
  <si>
    <t>ROI = Return on Investment := Net profit/Investment cost * 100%</t>
  </si>
  <si>
    <t>Range from € 50-280 per ton grass</t>
  </si>
  <si>
    <t>Grassa + NIZO: 50 a 60 € per ton DM. Barenbrug: 280 € per ton excellent grass. Personal communication farmers: 150 € per ton.</t>
  </si>
  <si>
    <t>€ 680 per hectare, equals 6 cent/kg DM</t>
  </si>
  <si>
    <t>Not included</t>
  </si>
  <si>
    <t>Depreciation machinery is 7 years at FrieslandCampina</t>
  </si>
  <si>
    <t>DACE prijzenboekje 29th edition</t>
  </si>
  <si>
    <r>
      <t>Holsinger, V.H., McAloon, A.J., Onwulata, C.I. and Smith, P.W. (2000) Cost analysis of encapsulated spray-dried milk fat. </t>
    </r>
    <r>
      <rPr>
        <i/>
        <sz val="12"/>
        <color theme="1"/>
        <rFont val="Calibri"/>
        <scheme val="minor"/>
      </rPr>
      <t>J. Dairy Sci.</t>
    </r>
    <r>
      <rPr>
        <sz val="12"/>
        <color theme="1"/>
        <rFont val="Calibri"/>
        <family val="2"/>
        <scheme val="minor"/>
      </rPr>
      <t>, </t>
    </r>
    <r>
      <rPr>
        <b/>
        <sz val="12"/>
        <color theme="1"/>
        <rFont val="Calibri"/>
        <family val="2"/>
        <scheme val="minor"/>
      </rPr>
      <t>83</t>
    </r>
    <r>
      <rPr>
        <sz val="12"/>
        <color theme="1"/>
        <rFont val="Calibri"/>
        <family val="2"/>
        <scheme val="minor"/>
      </rPr>
      <t>, 2361–5)</t>
    </r>
  </si>
  <si>
    <t>Price includes social fees and is the total costs for the employer. Costs might differ for different branches and education level.</t>
  </si>
  <si>
    <t>USDA AMS Dairy Market News</t>
  </si>
  <si>
    <t xml:space="preserve">
http://www.clal.it/en/?section=sieroproteine</t>
  </si>
  <si>
    <t>Based on waste paper (oudpapier) with a DM of 90-92%. Grassa! fibers are not sufficient due to low 'houterigheid'. For this market, old, fiber-rich grass is required.</t>
  </si>
  <si>
    <t xml:space="preserve">In several papers, the application of grass fibre for particle board production has been noted, but no actual applications have been found yet. </t>
  </si>
  <si>
    <r>
      <t xml:space="preserve">Kromus, S, Wachter, B, Koschuh, W, Mandl, M, Krotscheck, C &amp; Narodoslawsky, M. The Green Biorefinery Austria – Development of an Integrated System for Green Biomass Utilization. </t>
    </r>
    <r>
      <rPr>
        <i/>
        <sz val="12"/>
        <color rgb="FF000000"/>
        <rFont val="Calibri"/>
        <scheme val="minor"/>
      </rPr>
      <t>Chem. Biochem. Eng. Q.</t>
    </r>
    <r>
      <rPr>
        <sz val="12"/>
        <color rgb="FF000000"/>
        <rFont val="Calibri"/>
        <family val="2"/>
        <scheme val="minor"/>
      </rPr>
      <t xml:space="preserve"> </t>
    </r>
    <r>
      <rPr>
        <b/>
        <sz val="12"/>
        <color rgb="FF000000"/>
        <rFont val="Calibri"/>
        <family val="2"/>
        <scheme val="minor"/>
      </rPr>
      <t>18,</t>
    </r>
    <r>
      <rPr>
        <sz val="12"/>
        <color rgb="FF000000"/>
        <rFont val="Calibri"/>
        <family val="2"/>
        <scheme val="minor"/>
      </rPr>
      <t>7–12 (2004).
McEniry, J, King, C &amp; O’Kiely, P. The grass is greener. TResearch 6, 26–27 (2011).</t>
    </r>
  </si>
  <si>
    <t>Prices differ enourmously between different amino acids and feed/pharmaceutical grade.</t>
  </si>
  <si>
    <t>Keeffe et al. (2011) II. Economic assesment for first generation GBR: scenarios for an irish GBR blueprint</t>
  </si>
  <si>
    <t xml:space="preserve">http://www.fsaconsulting.net/pdfs/Case%20Study%2010%20-%20Centrifuge.pdf </t>
  </si>
  <si>
    <t>There are conflicting studies reporting regarding the financial viability of struvite production. See accompanying report for more details.</t>
  </si>
  <si>
    <t>NaOH</t>
  </si>
  <si>
    <t>Needed to keep stable pH of &gt;8.5. Amount of NaOH needed depends on starting pH; assumed to be 2x more than Mg (kg).</t>
  </si>
  <si>
    <r>
      <t xml:space="preserve">Rafie, S El, Hawash, S &amp; Shalaby, MS. Evaluation of struvite precipitated from chemical fertilizer industrial effluents. </t>
    </r>
    <r>
      <rPr>
        <b/>
        <sz val="12"/>
        <color rgb="FF000000"/>
        <rFont val="Calibri"/>
        <family val="2"/>
        <scheme val="minor"/>
      </rPr>
      <t>4,</t>
    </r>
    <r>
      <rPr>
        <sz val="12"/>
        <color rgb="FF000000"/>
        <rFont val="Calibri"/>
        <family val="2"/>
        <scheme val="minor"/>
      </rPr>
      <t xml:space="preserve"> 113–123 (2013).</t>
    </r>
  </si>
  <si>
    <t>Not sufficiently supported by reference, additional information needed. Furthermore, reference is several years old.</t>
  </si>
  <si>
    <t>No estimates yet</t>
  </si>
  <si>
    <t>No estimate yet. But it is linked</t>
  </si>
  <si>
    <r>
      <t xml:space="preserve">€/kg </t>
    </r>
    <r>
      <rPr>
        <sz val="12"/>
        <color theme="1"/>
        <rFont val="Calibri"/>
        <family val="2"/>
        <scheme val="minor"/>
      </rPr>
      <t>FM</t>
    </r>
  </si>
  <si>
    <t>Project's estimates</t>
  </si>
  <si>
    <t>Chemicals (MgO, NaOH)</t>
  </si>
  <si>
    <t>Price struvite is not sure, therefore this step is excluded</t>
  </si>
  <si>
    <t>Comments/Source</t>
  </si>
  <si>
    <t>(Raffie et al., 2013 ; Evalution of struvite precipitated from chemical fertilizer industrial effluents)</t>
  </si>
  <si>
    <t>Assume storage for 2 months</t>
  </si>
  <si>
    <t>Storage (protein, fibre)</t>
  </si>
  <si>
    <t>Price Insultaion material unsure. Assume dry fibre is used for insulation</t>
  </si>
  <si>
    <t>Assume no heating cost by using rest warmth of machinery</t>
  </si>
  <si>
    <t>Storage ( protein, fibre)</t>
  </si>
  <si>
    <r>
      <t>Feed</t>
    </r>
    <r>
      <rPr>
        <sz val="12"/>
        <color theme="1"/>
        <rFont val="Calibri"/>
        <family val="2"/>
        <scheme val="minor"/>
      </rPr>
      <t xml:space="preserve"> (protein)</t>
    </r>
  </si>
  <si>
    <r>
      <t>Feed</t>
    </r>
    <r>
      <rPr>
        <sz val="12"/>
        <color theme="1"/>
        <rFont val="Calibri"/>
        <family val="2"/>
        <scheme val="minor"/>
      </rPr>
      <t xml:space="preserve"> (fibre)</t>
    </r>
  </si>
  <si>
    <t>EBIT (year 1)</t>
  </si>
  <si>
    <t>Investment (year 0)</t>
  </si>
  <si>
    <t>Net profit (year 1)</t>
  </si>
  <si>
    <t>Labour (fte's)</t>
  </si>
  <si>
    <r>
      <rPr>
        <sz val="12"/>
        <color theme="1"/>
        <rFont val="Calibri"/>
        <family val="2"/>
        <scheme val="minor"/>
      </rPr>
      <t xml:space="preserve">No price estimate, but has to be as least as much as for feed. </t>
    </r>
    <r>
      <rPr>
        <sz val="12"/>
        <color theme="1"/>
        <rFont val="Calibri"/>
        <family val="2"/>
        <scheme val="minor"/>
      </rPr>
      <t>Requirements of grass are unknown. Process costs are unknown. Information known by Gramitherm. No price estimate, but has to be as least as much as for feed</t>
    </r>
  </si>
  <si>
    <t>TNO: 6000 || WPC 30 : 2600--&gt; WPC 90: 3*2600=7800, Based on whey protein concentrate (WPC) 34%* prices from January 2012 - May 2014.</t>
  </si>
  <si>
    <t>Soy price is 375 euros for 48% CP, this protein product contains 20% CP, which is 2 times less, so 375/2,4=156 euros, Based on whey protein concentrate (WPC) 34%* prices from January 2012 - May 2014.</t>
  </si>
  <si>
    <r>
      <rPr>
        <sz val="12"/>
        <color theme="1"/>
        <rFont val="Calibri"/>
        <family val="2"/>
        <scheme val="minor"/>
      </rPr>
      <t xml:space="preserve">Soy price is 375 euros for 48% CP, this protein product contains 11% CP, which is 4,36 times less, so 375/4,36= 86 euros, </t>
    </r>
    <r>
      <rPr>
        <sz val="12"/>
        <color theme="1"/>
        <rFont val="Calibri"/>
        <family val="2"/>
        <scheme val="minor"/>
      </rPr>
      <t>Based on Brazilian soy 48% (CP); Soy price is 375 euros for 48% CP, this protein product contains 11% CP, which is 4,36 times less, so 375/4,36= 86 euros</t>
    </r>
  </si>
  <si>
    <t>Grass Processing</t>
  </si>
  <si>
    <t>Processed/year</t>
  </si>
  <si>
    <t>Extraction efficiency</t>
  </si>
  <si>
    <t xml:space="preserve">The fibre fraction of the scenarios consists for 48% of dry matter, which is 1.8 times less than hay. Therefore, the price would come down to approximately € 73 per ton. Hay however has the functional property that it stimulates activity of the rumen of ruminants, which is not the case for the fibre fraction as its structure has been weakened. Therefore, the price has been downscaled and is estimated to be € 50 per ton. </t>
  </si>
  <si>
    <t>IRR = Internal rate of return (if IRR too low, "-" is displayed)</t>
  </si>
  <si>
    <t>IRR*</t>
  </si>
  <si>
    <t>* When IRR too low, "-" is displayed</t>
  </si>
  <si>
    <r>
      <rPr>
        <sz val="12"/>
        <rFont val="Calibri"/>
        <scheme val="minor"/>
      </rPr>
      <t>Assume dry fibre is used for insulation</t>
    </r>
  </si>
  <si>
    <t>% can be adapted is desired</t>
  </si>
  <si>
    <r>
      <t>The protein product consists of 11% protein, 4% other dry material and 85% H</t>
    </r>
    <r>
      <rPr>
        <vertAlign val="subscript"/>
        <sz val="11"/>
        <color rgb="FF000000"/>
        <rFont val="Arial"/>
      </rPr>
      <t>2</t>
    </r>
    <r>
      <rPr>
        <sz val="11"/>
        <color rgb="FF000000"/>
        <rFont val="Arial"/>
      </rPr>
      <t>O</t>
    </r>
  </si>
  <si>
    <r>
      <t>For the fibre fraction, 58% is H</t>
    </r>
    <r>
      <rPr>
        <vertAlign val="subscript"/>
        <sz val="12"/>
        <color theme="1"/>
        <rFont val="Calibri"/>
        <scheme val="minor"/>
      </rPr>
      <t>2</t>
    </r>
    <r>
      <rPr>
        <sz val="12"/>
        <color theme="1"/>
        <rFont val="Calibri"/>
        <family val="2"/>
        <scheme val="minor"/>
      </rPr>
      <t>O 34% is fibre and 8% is other dry material.</t>
    </r>
  </si>
  <si>
    <r>
      <t>The protein product consists of 20% protein, 1% other dry material and 79% H</t>
    </r>
    <r>
      <rPr>
        <vertAlign val="subscript"/>
        <sz val="12"/>
        <color rgb="FF000000"/>
        <rFont val="Calibri"/>
        <scheme val="minor"/>
      </rPr>
      <t>2</t>
    </r>
    <r>
      <rPr>
        <sz val="12"/>
        <color rgb="FF000000"/>
        <rFont val="Calibri"/>
        <family val="2"/>
        <scheme val="minor"/>
      </rPr>
      <t xml:space="preserve">O </t>
    </r>
  </si>
  <si>
    <r>
      <t>The protein product consists of 90% protein, 9% H</t>
    </r>
    <r>
      <rPr>
        <vertAlign val="subscript"/>
        <sz val="12"/>
        <color rgb="FF000000"/>
        <rFont val="Calibri"/>
        <scheme val="minor"/>
      </rPr>
      <t>2</t>
    </r>
    <r>
      <rPr>
        <sz val="12"/>
        <color rgb="FF000000"/>
        <rFont val="Calibri"/>
        <family val="2"/>
        <scheme val="minor"/>
      </rPr>
      <t xml:space="preserve">O and 1% other dry material </t>
    </r>
  </si>
  <si>
    <t>Framework of the Excel file</t>
  </si>
  <si>
    <t xml:space="preserve">The analysis of the costs and benefits is performed by means of an Excel file. The Excel file is built-up in such a way that three different scenarios are evaluated in one document. Within this document, a distinction can be made between general sheets (red coloured sheet tab) and scenario specific sheets (blue coloured sheet tab for scenario 1, yellow coloured sheet tabs for scenario 2 and green coloured sheet tabs for scenario 3). </t>
  </si>
  <si>
    <t xml:space="preserve">The general sheets contain all input and output data that are relevant for the three scenarios. </t>
  </si>
  <si>
    <t xml:space="preserve">For each of the scenarios there are four similar scenario specific sheets. </t>
  </si>
  <si>
    <r>
      <rPr>
        <b/>
        <sz val="12"/>
        <color theme="1"/>
        <rFont val="Calibri"/>
        <family val="2"/>
        <scheme val="minor"/>
      </rPr>
      <t xml:space="preserve">Output </t>
    </r>
    <r>
      <rPr>
        <sz val="12"/>
        <color theme="1"/>
        <rFont val="Calibri"/>
        <family val="2"/>
        <scheme val="minor"/>
      </rPr>
      <t xml:space="preserve">The first sheet provides a general overview of all costs and benefits. </t>
    </r>
  </si>
  <si>
    <r>
      <t>Machine Processing</t>
    </r>
    <r>
      <rPr>
        <sz val="12"/>
        <color theme="1"/>
        <rFont val="Calibri"/>
        <family val="2"/>
        <scheme val="minor"/>
      </rPr>
      <t xml:space="preserve"> The third sheet displays the in- and outflow quantities of the different steps of the process, the produced products and the required energy and water per step. </t>
    </r>
  </si>
  <si>
    <r>
      <rPr>
        <b/>
        <sz val="12"/>
        <color theme="1"/>
        <rFont val="Calibri"/>
        <family val="2"/>
        <scheme val="minor"/>
      </rPr>
      <t>Process Cost-Benefit</t>
    </r>
    <r>
      <rPr>
        <sz val="12"/>
        <color theme="1"/>
        <rFont val="Calibri"/>
        <family val="2"/>
        <scheme val="minor"/>
      </rPr>
      <t xml:space="preserve">  the fourth sheet shows the costs and benefits for each step separately. This sheet includes a function to include or exclude different steps in the process for the price calculation. For example, this function was used to exclude the struvite precipitation step as too little is known about the costs and benefits of this process.</t>
    </r>
  </si>
  <si>
    <r>
      <rPr>
        <b/>
        <sz val="12"/>
        <color theme="1"/>
        <rFont val="Calibri"/>
        <family val="2"/>
        <scheme val="minor"/>
      </rPr>
      <t xml:space="preserve">Scenario Output </t>
    </r>
    <r>
      <rPr>
        <sz val="12"/>
        <color theme="1"/>
        <rFont val="Calibri"/>
        <family val="2"/>
        <scheme val="minor"/>
      </rPr>
      <t xml:space="preserve">This is the most important sheet, as this gives an overview of the financial results of the different scenarios. On the main output sheet, the three different scenarios are shown with their financial results (EBIT, net profit, investment, NPV, IRR and ROI). For all of the scenarios, the most important and influential variables are determined and also displayed on this sheet. These are grass prices, protein prices, labour in FTE (full time equivalents) and fibre prices. The magnitude of these values has a major impact on the financial results of the various scenarios. For each of the values, an estimate, minimum and maximum is given. The value of the variable can be adjusted by means of a scroll bar. This enables the user to compare the financial results in a low (pessimistic), medium (realistic) and high (optimistic) case and everything in between. This also provides the possibility to determine what should be the minimum value of a particular variable or a combination of variables in order to make a scenario cost-effective. </t>
    </r>
  </si>
  <si>
    <t>The idea behind this model is that assumptions can be updated and adjusted when desired, with the result that this changes will automatically be ajusted in the final outcome. Sources were provided when possible and otherwise often the consideration of the authors were given.</t>
  </si>
  <si>
    <t>The legend gives some extra guidance for some shadring of cells or words. For most of the yellow background cells it is the case that the numbers in there are estimates and can easily be adapted in that specific cell (and not in the "Variables" sheet) if desired.</t>
  </si>
  <si>
    <t>This Excel was made to assess the financial viability of grass refinement in the Netherlands. This project was commissioned by FrieslandCampina and exectuted by Master students of the University of Amsterdam. This document is free for use, provided that the original authors are mentioned. More detailed information on the project can be found in the corresponding report.</t>
  </si>
  <si>
    <t>Readme</t>
  </si>
  <si>
    <r>
      <rPr>
        <b/>
        <sz val="12"/>
        <color theme="1"/>
        <rFont val="Calibri"/>
        <family val="2"/>
        <scheme val="minor"/>
      </rPr>
      <t>Variables</t>
    </r>
    <r>
      <rPr>
        <sz val="12"/>
        <color theme="1"/>
        <rFont val="Calibri"/>
        <family val="2"/>
        <scheme val="minor"/>
      </rPr>
      <t xml:space="preserve"> On the second general sheet an extensive list of assumptions and variables is given. Most of the used prices can be found in this list. Some of the variables or assumptions are supported by a comment, when required. Furthermore, sources are given here such that it is easy to trace back and update the original number.</t>
    </r>
  </si>
  <si>
    <r>
      <rPr>
        <b/>
        <sz val="12"/>
        <color theme="1"/>
        <rFont val="Calibri"/>
        <family val="2"/>
        <scheme val="minor"/>
      </rPr>
      <t>Grass Processing</t>
    </r>
    <r>
      <rPr>
        <sz val="12"/>
        <color theme="1"/>
        <rFont val="Calibri"/>
        <family val="2"/>
        <scheme val="minor"/>
      </rPr>
      <t xml:space="preserve"> The last general sheet provides an overview of the composition of the silage and fresh grass in terms of water and dry matter. These are linked to other sheets and adjusting the grass composition will immidiatly affect the output of the different scenarios. Also the calculation for the amount of grass processed per year is described on this sheet. </t>
    </r>
  </si>
  <si>
    <r>
      <rPr>
        <b/>
        <sz val="12"/>
        <color theme="1"/>
        <rFont val="Calibri"/>
        <family val="2"/>
        <scheme val="minor"/>
      </rPr>
      <t>Financial Output</t>
    </r>
    <r>
      <rPr>
        <sz val="12"/>
        <color theme="1"/>
        <rFont val="Calibri"/>
        <family val="2"/>
        <scheme val="minor"/>
      </rPr>
      <t xml:space="preserve"> The second sheet contains the profit and loss statement for the project estimated for the next seven years. The profit and loss statement gives an overview of all expenses (fixed and variable costs) and revenues over a certain period. It can be seen as a receipt, where at the top the gross revenue is stated and at the bottom the net profit, after subtracting all costs. This sheet also contains and the cash flow statement and the profitability indicators. On sheet "1. Financial Output" extra comments for explanation can be consulted.</t>
    </r>
  </si>
  <si>
    <t>B.J.C. Paping</t>
  </si>
  <si>
    <t>K.C.G.P. van de Ven</t>
  </si>
  <si>
    <t>R.S. Wohl</t>
  </si>
  <si>
    <t>Amsterdam, 23rd of July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</si>
</sst>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_-[$€-413]\ * #,##0.00_-;_-[$€-413]\ * #,##0.00\-;_-[$€-413]\ * &quot;-&quot;??_-;_-@_-"/>
    <numFmt numFmtId="169" formatCode="_-[$€-413]\ * #,##0_-;_-[$€-413]\ * #,##0\-;_-[$€-413]\ * &quot;-&quot;??_-;_-@_-"/>
    <numFmt numFmtId="170" formatCode="_-* #,##0_-;_-* #,##0\-;_-* &quot;-&quot;??_-;_-@_-"/>
    <numFmt numFmtId="171" formatCode="_-&quot;€&quot;\ * #,##0_-;_-&quot;€&quot;\ * #,##0\-;_-&quot;€&quot;\ * &quot;-&quot;??_-;_-@_-"/>
    <numFmt numFmtId="172" formatCode="_-[$€-2]\ * #,##0_-;_-[$€-2]\ * #,##0\-;_-[$€-2]\ * &quot;-&quot;??_-;_-@_-"/>
    <numFmt numFmtId="173" formatCode="_-&quot;€&quot;\ * #,##0.0000_-;_-&quot;€&quot;\ * #,##0.0000\-;_-&quot;€&quot;\ * &quot;-&quot;??_-;_-@_-"/>
    <numFmt numFmtId="174" formatCode="#,##0.0"/>
    <numFmt numFmtId="175" formatCode="0.000%"/>
    <numFmt numFmtId="176" formatCode="0.0%"/>
    <numFmt numFmtId="177" formatCode="_-[$€-413]\ * #,##0.0_-;_-[$€-413]\ * #,##0.0\-;_-[$€-413]\ * &quot;-&quot;??_-;_-@_-"/>
  </numFmts>
  <fonts count="5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b/>
      <sz val="16"/>
      <color rgb="FF000000"/>
      <name val="Calibri"/>
      <scheme val="minor"/>
    </font>
    <font>
      <sz val="12"/>
      <color rgb="FF000000"/>
      <name val="Calibri"/>
      <family val="2"/>
      <scheme val="minor"/>
    </font>
    <font>
      <sz val="14"/>
      <color rgb="FF000000"/>
      <name val="Calibri"/>
      <scheme val="minor"/>
    </font>
    <font>
      <b/>
      <sz val="12"/>
      <color rgb="FF000000"/>
      <name val="Calibri"/>
      <family val="2"/>
      <scheme val="minor"/>
    </font>
    <font>
      <u/>
      <sz val="11"/>
      <color theme="10"/>
      <name val="Calibri"/>
      <family val="2"/>
      <scheme val="minor"/>
    </font>
    <font>
      <u/>
      <sz val="11"/>
      <color theme="11"/>
      <name val="Calibri"/>
      <family val="2"/>
      <scheme val="minor"/>
    </font>
    <font>
      <i/>
      <sz val="12"/>
      <color theme="1"/>
      <name val="Calibri"/>
      <scheme val="minor"/>
    </font>
    <font>
      <i/>
      <sz val="12"/>
      <color rgb="FF000000"/>
      <name val="Calibri"/>
      <scheme val="minor"/>
    </font>
    <font>
      <sz val="12"/>
      <color rgb="FF008000"/>
      <name val="Calibri"/>
      <scheme val="minor"/>
    </font>
    <font>
      <u/>
      <sz val="12"/>
      <color theme="10"/>
      <name val="Calibri"/>
      <scheme val="minor"/>
    </font>
    <font>
      <b/>
      <sz val="12"/>
      <name val="Calibri"/>
      <scheme val="minor"/>
    </font>
    <font>
      <b/>
      <i/>
      <sz val="12"/>
      <color theme="1"/>
      <name val="Calibri"/>
      <scheme val="minor"/>
    </font>
    <font>
      <sz val="12"/>
      <name val="Calibri"/>
      <scheme val="minor"/>
    </font>
    <font>
      <i/>
      <sz val="12"/>
      <color rgb="FF008000"/>
      <name val="Calibri"/>
      <scheme val="minor"/>
    </font>
    <font>
      <i/>
      <sz val="12"/>
      <color rgb="FFFF0000"/>
      <name val="Calibri"/>
      <scheme val="minor"/>
    </font>
    <font>
      <b/>
      <i/>
      <sz val="11"/>
      <color theme="1"/>
      <name val="Calibri"/>
      <scheme val="minor"/>
    </font>
    <font>
      <i/>
      <sz val="11"/>
      <color theme="1"/>
      <name val="Calibri"/>
      <scheme val="minor"/>
    </font>
    <font>
      <sz val="8"/>
      <name val="Calibri"/>
      <family val="2"/>
      <scheme val="minor"/>
    </font>
    <font>
      <i/>
      <sz val="12"/>
      <name val="Calibri"/>
      <scheme val="minor"/>
    </font>
    <font>
      <b/>
      <sz val="12"/>
      <color theme="0"/>
      <name val="Calibri"/>
      <family val="2"/>
      <scheme val="minor"/>
    </font>
    <font>
      <i/>
      <sz val="14"/>
      <color theme="1"/>
      <name val="Calibri"/>
      <scheme val="minor"/>
    </font>
    <font>
      <b/>
      <i/>
      <sz val="12"/>
      <color rgb="FF008000"/>
      <name val="Calibri"/>
      <scheme val="minor"/>
    </font>
    <font>
      <u/>
      <sz val="12"/>
      <color theme="10"/>
      <name val="Calibri"/>
      <family val="2"/>
      <scheme val="minor"/>
    </font>
    <font>
      <i/>
      <sz val="12"/>
      <color theme="1"/>
      <name val="Calibri"/>
      <family val="2"/>
      <scheme val="minor"/>
    </font>
    <font>
      <sz val="12"/>
      <color rgb="FF008000"/>
      <name val="Calibri"/>
      <family val="2"/>
      <scheme val="minor"/>
    </font>
    <font>
      <sz val="12"/>
      <name val="Calibri"/>
      <family val="2"/>
      <scheme val="minor"/>
    </font>
    <font>
      <sz val="11"/>
      <color rgb="FF000000"/>
      <name val="Arial"/>
    </font>
    <font>
      <b/>
      <sz val="16"/>
      <name val="Calibri"/>
      <scheme val="minor"/>
    </font>
    <font>
      <sz val="11"/>
      <name val="Calibri"/>
      <scheme val="minor"/>
    </font>
    <font>
      <vertAlign val="subscript"/>
      <sz val="11"/>
      <color rgb="FF000000"/>
      <name val="Arial"/>
    </font>
    <font>
      <vertAlign val="subscript"/>
      <sz val="12"/>
      <color theme="1"/>
      <name val="Calibri"/>
      <scheme val="minor"/>
    </font>
    <font>
      <vertAlign val="subscript"/>
      <sz val="12"/>
      <color rgb="FF000000"/>
      <name val="Calibri"/>
      <scheme val="minor"/>
    </font>
    <font>
      <sz val="9"/>
      <color indexed="81"/>
      <name val="Calibri"/>
      <family val="2"/>
    </font>
    <font>
      <b/>
      <sz val="9"/>
      <color indexed="81"/>
      <name val="Calibri"/>
      <family val="2"/>
    </font>
  </fonts>
  <fills count="12">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C5D9F1"/>
        <bgColor rgb="FF000000"/>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3" tint="0.79998168889431442"/>
        <bgColor rgb="FF000000"/>
      </patternFill>
    </fill>
    <fill>
      <patternFill patternType="solid">
        <fgColor theme="0" tint="-0.14999847407452621"/>
        <bgColor indexed="64"/>
      </patternFill>
    </fill>
    <fill>
      <patternFill patternType="solid">
        <fgColor rgb="FFE6B8B7"/>
        <bgColor rgb="FF000000"/>
      </patternFill>
    </fill>
    <fill>
      <patternFill patternType="solid">
        <fgColor theme="4" tint="-0.249977111117893"/>
        <bgColor indexed="64"/>
      </patternFill>
    </fill>
    <fill>
      <patternFill patternType="solid">
        <fgColor theme="0"/>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s>
  <cellStyleXfs count="602">
    <xf numFmtId="0" fontId="0" fillId="0" borderId="0"/>
    <xf numFmtId="166" fontId="2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9" fontId="2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167" fontId="2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5" fontId="2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657">
    <xf numFmtId="0" fontId="0" fillId="0" borderId="0" xfId="0"/>
    <xf numFmtId="0" fontId="19" fillId="0" borderId="0" xfId="0" applyFont="1"/>
    <xf numFmtId="0" fontId="0" fillId="0" borderId="0" xfId="0" applyAlignment="1">
      <alignment horizontal="left" vertical="top"/>
    </xf>
    <xf numFmtId="0" fontId="18" fillId="0" borderId="0" xfId="0" applyFont="1"/>
    <xf numFmtId="0" fontId="19" fillId="0" borderId="0" xfId="0" applyFont="1" applyAlignment="1">
      <alignment horizontal="left" vertical="top"/>
    </xf>
    <xf numFmtId="0" fontId="0" fillId="0" borderId="0" xfId="0" applyBorder="1"/>
    <xf numFmtId="0" fontId="0" fillId="0" borderId="0" xfId="0" applyFill="1" applyBorder="1"/>
    <xf numFmtId="0" fontId="23" fillId="0" borderId="0" xfId="0" applyFont="1"/>
    <xf numFmtId="0" fontId="24" fillId="0" borderId="0" xfId="0" applyFont="1"/>
    <xf numFmtId="0" fontId="25" fillId="0" borderId="0" xfId="0" applyFont="1"/>
    <xf numFmtId="0" fontId="26" fillId="0" borderId="9" xfId="0" applyFont="1" applyBorder="1"/>
    <xf numFmtId="0" fontId="26" fillId="0" borderId="10" xfId="0" applyFont="1" applyBorder="1"/>
    <xf numFmtId="0" fontId="24" fillId="0" borderId="11" xfId="0" applyFont="1" applyBorder="1"/>
    <xf numFmtId="0" fontId="0" fillId="0" borderId="11" xfId="0" applyBorder="1"/>
    <xf numFmtId="0" fontId="24" fillId="0" borderId="15" xfId="0" applyFont="1" applyBorder="1"/>
    <xf numFmtId="0" fontId="17" fillId="0" borderId="0" xfId="0" applyFont="1"/>
    <xf numFmtId="0" fontId="29" fillId="0" borderId="0" xfId="0" applyFont="1"/>
    <xf numFmtId="0" fontId="22" fillId="0" borderId="11" xfId="0" applyFont="1" applyBorder="1"/>
    <xf numFmtId="0" fontId="24" fillId="0" borderId="18" xfId="0" applyFont="1" applyBorder="1"/>
    <xf numFmtId="0" fontId="24" fillId="0" borderId="0" xfId="0" applyFont="1" applyBorder="1"/>
    <xf numFmtId="0" fontId="19" fillId="0" borderId="0" xfId="0" applyFont="1" applyFill="1" applyBorder="1"/>
    <xf numFmtId="0" fontId="29" fillId="0" borderId="11" xfId="0" applyFont="1" applyBorder="1" applyAlignment="1">
      <alignment wrapText="1"/>
    </xf>
    <xf numFmtId="0" fontId="29" fillId="0" borderId="11" xfId="0" applyFont="1" applyBorder="1"/>
    <xf numFmtId="0" fontId="30" fillId="0" borderId="11" xfId="0" applyFont="1" applyBorder="1"/>
    <xf numFmtId="0" fontId="24" fillId="0" borderId="0" xfId="0" applyFont="1" applyFill="1" applyBorder="1"/>
    <xf numFmtId="0" fontId="22" fillId="0" borderId="18" xfId="0" applyFont="1" applyBorder="1"/>
    <xf numFmtId="0" fontId="22" fillId="0" borderId="18" xfId="0" applyFont="1" applyFill="1" applyBorder="1"/>
    <xf numFmtId="0" fontId="29" fillId="0" borderId="18" xfId="0" applyFont="1" applyBorder="1"/>
    <xf numFmtId="0" fontId="22" fillId="0" borderId="11" xfId="0" applyFont="1" applyFill="1" applyBorder="1"/>
    <xf numFmtId="0" fontId="26" fillId="0" borderId="18" xfId="0" applyFont="1" applyBorder="1"/>
    <xf numFmtId="0" fontId="22" fillId="0" borderId="19" xfId="0" applyFont="1" applyBorder="1"/>
    <xf numFmtId="0" fontId="22" fillId="0" borderId="17" xfId="0" applyFont="1" applyBorder="1" applyAlignment="1">
      <alignment horizontal="left"/>
    </xf>
    <xf numFmtId="0" fontId="29" fillId="0" borderId="19" xfId="0" applyFont="1" applyBorder="1"/>
    <xf numFmtId="0" fontId="29" fillId="0" borderId="20" xfId="0" applyFont="1" applyBorder="1"/>
    <xf numFmtId="0" fontId="29" fillId="0" borderId="14" xfId="0" applyFont="1" applyBorder="1"/>
    <xf numFmtId="0" fontId="22" fillId="0" borderId="0" xfId="0" applyFont="1"/>
    <xf numFmtId="0" fontId="31" fillId="0" borderId="13" xfId="0" applyFont="1" applyBorder="1"/>
    <xf numFmtId="0" fontId="22" fillId="0" borderId="15" xfId="0" applyFont="1" applyBorder="1" applyAlignment="1">
      <alignment wrapText="1"/>
    </xf>
    <xf numFmtId="0" fontId="22" fillId="0" borderId="11" xfId="0" applyFont="1" applyBorder="1" applyAlignment="1">
      <alignment wrapText="1"/>
    </xf>
    <xf numFmtId="0" fontId="22" fillId="0" borderId="9" xfId="0" applyFont="1" applyBorder="1" applyAlignment="1">
      <alignment wrapText="1"/>
    </xf>
    <xf numFmtId="4" fontId="22" fillId="0" borderId="15" xfId="0" applyNumberFormat="1" applyFont="1" applyBorder="1" applyAlignment="1">
      <alignment wrapText="1"/>
    </xf>
    <xf numFmtId="0" fontId="22" fillId="0" borderId="10" xfId="0" applyFont="1" applyBorder="1" applyAlignment="1">
      <alignment wrapText="1"/>
    </xf>
    <xf numFmtId="0" fontId="15" fillId="0" borderId="0" xfId="0" applyFont="1"/>
    <xf numFmtId="0" fontId="22" fillId="0" borderId="11" xfId="0" applyFont="1" applyBorder="1" applyAlignment="1">
      <alignment horizontal="left" wrapText="1"/>
    </xf>
    <xf numFmtId="3" fontId="21" fillId="0" borderId="11" xfId="0" applyNumberFormat="1" applyFont="1" applyFill="1" applyBorder="1" applyAlignment="1">
      <alignment horizontal="left" wrapText="1"/>
    </xf>
    <xf numFmtId="9" fontId="21" fillId="0" borderId="11" xfId="194" applyFont="1" applyFill="1" applyBorder="1" applyAlignment="1">
      <alignment horizontal="left" wrapText="1"/>
    </xf>
    <xf numFmtId="0" fontId="0" fillId="0" borderId="0" xfId="0" applyAlignment="1">
      <alignment horizontal="left"/>
    </xf>
    <xf numFmtId="0" fontId="15" fillId="0" borderId="13" xfId="0" applyFont="1" applyBorder="1"/>
    <xf numFmtId="0" fontId="15" fillId="0" borderId="0" xfId="0" applyFont="1" applyBorder="1"/>
    <xf numFmtId="0" fontId="26" fillId="0" borderId="0" xfId="0" applyFont="1"/>
    <xf numFmtId="0" fontId="33" fillId="0" borderId="0" xfId="0" applyFont="1" applyAlignment="1"/>
    <xf numFmtId="0" fontId="22" fillId="0" borderId="0" xfId="0" applyFont="1" applyAlignment="1">
      <alignment horizontal="left"/>
    </xf>
    <xf numFmtId="0" fontId="0" fillId="0" borderId="0" xfId="0" applyFill="1" applyBorder="1" applyAlignment="1">
      <alignment horizontal="left" vertical="top"/>
    </xf>
    <xf numFmtId="0" fontId="22" fillId="0" borderId="15" xfId="0" applyFont="1" applyBorder="1" applyAlignment="1">
      <alignment horizontal="left" vertical="top"/>
    </xf>
    <xf numFmtId="0" fontId="22" fillId="0" borderId="17" xfId="0" applyFont="1" applyBorder="1" applyAlignment="1">
      <alignment horizontal="left" vertical="top"/>
    </xf>
    <xf numFmtId="0" fontId="22" fillId="0" borderId="16" xfId="0" applyFont="1" applyBorder="1" applyAlignment="1">
      <alignment horizontal="left" vertical="top" wrapText="1"/>
    </xf>
    <xf numFmtId="20" fontId="22" fillId="0" borderId="15" xfId="0" applyNumberFormat="1" applyFont="1" applyBorder="1" applyAlignment="1">
      <alignment horizontal="left" vertical="top" wrapText="1"/>
    </xf>
    <xf numFmtId="0" fontId="17" fillId="0" borderId="0" xfId="0" applyFont="1" applyAlignment="1">
      <alignment horizontal="left" vertical="top"/>
    </xf>
    <xf numFmtId="0" fontId="16" fillId="0" borderId="18" xfId="0" applyFont="1" applyBorder="1" applyAlignment="1">
      <alignment horizontal="left" vertical="top"/>
    </xf>
    <xf numFmtId="0" fontId="16" fillId="0" borderId="13" xfId="0" applyFont="1" applyBorder="1" applyAlignment="1">
      <alignment horizontal="left" vertical="top"/>
    </xf>
    <xf numFmtId="0" fontId="29" fillId="0" borderId="14" xfId="0" applyFont="1" applyBorder="1" applyAlignment="1">
      <alignment horizontal="left" vertical="top"/>
    </xf>
    <xf numFmtId="0" fontId="29" fillId="0" borderId="13" xfId="0" applyFont="1" applyBorder="1" applyAlignment="1">
      <alignment horizontal="left" vertical="top"/>
    </xf>
    <xf numFmtId="0" fontId="22" fillId="0" borderId="13" xfId="0" applyFont="1" applyBorder="1" applyAlignment="1">
      <alignment horizontal="left" vertical="top"/>
    </xf>
    <xf numFmtId="0" fontId="22" fillId="0" borderId="15" xfId="0" applyFont="1" applyFill="1" applyBorder="1" applyAlignment="1">
      <alignment horizontal="left" vertical="top"/>
    </xf>
    <xf numFmtId="0" fontId="29" fillId="0" borderId="15" xfId="0" applyFont="1" applyBorder="1" applyAlignment="1">
      <alignment horizontal="left" vertical="top" wrapText="1"/>
    </xf>
    <xf numFmtId="0" fontId="16" fillId="0" borderId="15" xfId="0" applyFont="1" applyBorder="1" applyAlignment="1">
      <alignment horizontal="left" vertical="top"/>
    </xf>
    <xf numFmtId="0" fontId="22" fillId="0" borderId="11" xfId="0" applyFont="1" applyFill="1" applyBorder="1" applyAlignment="1">
      <alignment horizontal="left" vertical="top"/>
    </xf>
    <xf numFmtId="0" fontId="29" fillId="0" borderId="11" xfId="0" applyFont="1" applyFill="1" applyBorder="1" applyAlignment="1">
      <alignment horizontal="left" vertical="top"/>
    </xf>
    <xf numFmtId="0" fontId="29" fillId="0" borderId="11" xfId="0" applyFont="1" applyBorder="1" applyAlignment="1">
      <alignment horizontal="left" vertical="top"/>
    </xf>
    <xf numFmtId="169" fontId="16" fillId="0" borderId="11" xfId="0" applyNumberFormat="1" applyFont="1" applyBorder="1" applyAlignment="1">
      <alignment horizontal="left" vertical="top"/>
    </xf>
    <xf numFmtId="168" fontId="16" fillId="0" borderId="11" xfId="0" applyNumberFormat="1" applyFont="1" applyBorder="1" applyAlignment="1">
      <alignment horizontal="left" vertical="top"/>
    </xf>
    <xf numFmtId="0" fontId="16" fillId="0" borderId="11" xfId="0" applyFont="1" applyBorder="1" applyAlignment="1">
      <alignment horizontal="left" vertical="top"/>
    </xf>
    <xf numFmtId="0" fontId="22" fillId="0" borderId="11" xfId="0" applyFont="1" applyBorder="1" applyAlignment="1">
      <alignment horizontal="left" vertical="top"/>
    </xf>
    <xf numFmtId="0" fontId="26" fillId="0" borderId="11" xfId="0" applyFont="1" applyBorder="1" applyAlignment="1">
      <alignment horizontal="left" vertical="top"/>
    </xf>
    <xf numFmtId="169" fontId="0" fillId="0" borderId="0" xfId="0" applyNumberFormat="1" applyAlignment="1">
      <alignment horizontal="left" vertical="top"/>
    </xf>
    <xf numFmtId="0" fontId="24" fillId="0" borderId="11" xfId="0" applyFont="1" applyBorder="1" applyAlignment="1">
      <alignment horizontal="left" vertical="top"/>
    </xf>
    <xf numFmtId="0" fontId="24" fillId="0" borderId="18" xfId="0" applyFont="1" applyBorder="1" applyAlignment="1">
      <alignment horizontal="left" vertical="top"/>
    </xf>
    <xf numFmtId="0" fontId="29" fillId="0" borderId="11" xfId="0" applyFont="1" applyBorder="1" applyAlignment="1">
      <alignment horizontal="left" vertical="top" wrapText="1"/>
    </xf>
    <xf numFmtId="0" fontId="29" fillId="0" borderId="12" xfId="0" applyFont="1" applyBorder="1" applyAlignment="1">
      <alignment horizontal="left" vertical="top"/>
    </xf>
    <xf numFmtId="0" fontId="22" fillId="0" borderId="0" xfId="0" applyFont="1" applyAlignment="1">
      <alignment horizontal="left" vertical="top"/>
    </xf>
    <xf numFmtId="0" fontId="29" fillId="0" borderId="0" xfId="0" applyFont="1" applyAlignment="1">
      <alignment horizontal="left" vertical="top"/>
    </xf>
    <xf numFmtId="171" fontId="22" fillId="0" borderId="0" xfId="0" applyNumberFormat="1" applyFont="1" applyAlignment="1">
      <alignment horizontal="left" vertical="top"/>
    </xf>
    <xf numFmtId="0" fontId="29" fillId="0" borderId="0" xfId="0" applyFont="1" applyBorder="1" applyAlignment="1">
      <alignment horizontal="left" vertical="top" wrapText="1"/>
    </xf>
    <xf numFmtId="0" fontId="21" fillId="0" borderId="0" xfId="0" applyFont="1" applyBorder="1"/>
    <xf numFmtId="0" fontId="22" fillId="0" borderId="0" xfId="0" applyFont="1" applyBorder="1"/>
    <xf numFmtId="0" fontId="15" fillId="0" borderId="18" xfId="0" applyFont="1" applyBorder="1"/>
    <xf numFmtId="0" fontId="22" fillId="0" borderId="9" xfId="0" applyFont="1" applyBorder="1"/>
    <xf numFmtId="0" fontId="15" fillId="2" borderId="15" xfId="0" applyFont="1" applyFill="1" applyBorder="1"/>
    <xf numFmtId="0" fontId="15" fillId="5" borderId="11" xfId="0" applyFont="1" applyFill="1" applyBorder="1"/>
    <xf numFmtId="0" fontId="15" fillId="3" borderId="11" xfId="0" applyFont="1" applyFill="1" applyBorder="1"/>
    <xf numFmtId="0" fontId="24" fillId="0" borderId="0" xfId="0" applyFont="1" applyAlignment="1">
      <alignment vertical="top"/>
    </xf>
    <xf numFmtId="170" fontId="15" fillId="5" borderId="0" xfId="258" applyNumberFormat="1" applyFont="1" applyFill="1" applyAlignment="1">
      <alignment horizontal="right" vertical="top"/>
    </xf>
    <xf numFmtId="0" fontId="15" fillId="0" borderId="21" xfId="0" applyFont="1" applyBorder="1" applyAlignment="1">
      <alignment horizontal="left"/>
    </xf>
    <xf numFmtId="0" fontId="15" fillId="0" borderId="16" xfId="0" applyFont="1" applyBorder="1" applyAlignment="1">
      <alignment horizontal="left"/>
    </xf>
    <xf numFmtId="0" fontId="15" fillId="0" borderId="11" xfId="0" applyFont="1" applyBorder="1"/>
    <xf numFmtId="0" fontId="15" fillId="0" borderId="19" xfId="0" applyFont="1" applyBorder="1"/>
    <xf numFmtId="0" fontId="35" fillId="0" borderId="0" xfId="0" applyFont="1" applyAlignment="1">
      <alignment wrapText="1"/>
    </xf>
    <xf numFmtId="0" fontId="17" fillId="0" borderId="13" xfId="0" applyFont="1" applyBorder="1" applyAlignment="1">
      <alignment horizontal="left" vertical="top"/>
    </xf>
    <xf numFmtId="171" fontId="22" fillId="0" borderId="13" xfId="1" applyNumberFormat="1" applyFont="1" applyBorder="1" applyAlignment="1">
      <alignment horizontal="left" vertical="top"/>
    </xf>
    <xf numFmtId="169" fontId="24" fillId="0" borderId="11" xfId="0" applyNumberFormat="1" applyFont="1" applyBorder="1"/>
    <xf numFmtId="169" fontId="21" fillId="0" borderId="11" xfId="0" applyNumberFormat="1" applyFont="1" applyBorder="1" applyAlignment="1">
      <alignment horizontal="left" vertical="top"/>
    </xf>
    <xf numFmtId="166" fontId="24" fillId="0" borderId="0" xfId="1" applyFont="1" applyBorder="1"/>
    <xf numFmtId="0" fontId="36" fillId="0" borderId="11" xfId="0" applyFont="1" applyBorder="1" applyAlignment="1">
      <alignment horizontal="left" vertical="top"/>
    </xf>
    <xf numFmtId="0" fontId="36" fillId="0" borderId="11" xfId="0" applyFont="1" applyFill="1" applyBorder="1" applyAlignment="1">
      <alignment horizontal="left" vertical="top"/>
    </xf>
    <xf numFmtId="171" fontId="26" fillId="0" borderId="0" xfId="0" applyNumberFormat="1" applyFont="1" applyBorder="1" applyAlignment="1">
      <alignment horizontal="left"/>
    </xf>
    <xf numFmtId="171" fontId="22" fillId="0" borderId="0" xfId="0" applyNumberFormat="1" applyFont="1" applyAlignment="1">
      <alignment horizontal="left"/>
    </xf>
    <xf numFmtId="9" fontId="22" fillId="0" borderId="0" xfId="194" applyFont="1"/>
    <xf numFmtId="0" fontId="21" fillId="0" borderId="0" xfId="0" applyFont="1"/>
    <xf numFmtId="0" fontId="26" fillId="0" borderId="18" xfId="0" applyFont="1" applyBorder="1" applyAlignment="1">
      <alignment horizontal="left" vertical="top"/>
    </xf>
    <xf numFmtId="0" fontId="29" fillId="0" borderId="11" xfId="0" applyFont="1" applyFill="1" applyBorder="1" applyAlignment="1">
      <alignment horizontal="left" vertical="top" wrapText="1"/>
    </xf>
    <xf numFmtId="0" fontId="36" fillId="0" borderId="11" xfId="0" applyFont="1" applyBorder="1" applyAlignment="1">
      <alignment horizontal="left" vertical="top" wrapText="1"/>
    </xf>
    <xf numFmtId="168" fontId="21" fillId="0" borderId="11" xfId="1" applyNumberFormat="1" applyFont="1" applyFill="1" applyBorder="1" applyAlignment="1">
      <alignment horizontal="left" wrapText="1"/>
    </xf>
    <xf numFmtId="9" fontId="15" fillId="0" borderId="0" xfId="0" applyNumberFormat="1" applyFont="1"/>
    <xf numFmtId="0" fontId="23" fillId="0" borderId="0" xfId="0" applyFont="1" applyAlignment="1">
      <alignment horizontal="left"/>
    </xf>
    <xf numFmtId="0" fontId="26" fillId="0" borderId="15" xfId="0" applyFont="1" applyBorder="1"/>
    <xf numFmtId="0" fontId="34" fillId="0" borderId="1" xfId="0" applyFont="1" applyBorder="1"/>
    <xf numFmtId="0" fontId="29" fillId="0" borderId="0" xfId="0" applyFont="1" applyBorder="1"/>
    <xf numFmtId="0" fontId="36" fillId="0" borderId="5" xfId="0" applyFont="1" applyBorder="1"/>
    <xf numFmtId="0" fontId="29" fillId="0" borderId="4" xfId="0" applyFont="1" applyBorder="1"/>
    <xf numFmtId="0" fontId="36" fillId="0" borderId="5" xfId="0" applyFont="1" applyBorder="1" applyAlignment="1">
      <alignment wrapText="1"/>
    </xf>
    <xf numFmtId="171" fontId="22" fillId="0" borderId="0" xfId="1" applyNumberFormat="1" applyFont="1"/>
    <xf numFmtId="171" fontId="22" fillId="0" borderId="0" xfId="0" applyNumberFormat="1" applyFont="1"/>
    <xf numFmtId="0" fontId="14" fillId="0" borderId="0" xfId="0" applyFont="1"/>
    <xf numFmtId="0" fontId="36" fillId="0" borderId="8" xfId="0" applyFont="1" applyFill="1" applyBorder="1"/>
    <xf numFmtId="0" fontId="34" fillId="0" borderId="2" xfId="0" applyFont="1" applyBorder="1"/>
    <xf numFmtId="0" fontId="29" fillId="0" borderId="2" xfId="0" applyFont="1" applyBorder="1"/>
    <xf numFmtId="0" fontId="29" fillId="0" borderId="3" xfId="0" applyFont="1" applyBorder="1"/>
    <xf numFmtId="0" fontId="24" fillId="0" borderId="6" xfId="0" applyFont="1" applyBorder="1"/>
    <xf numFmtId="0" fontId="14" fillId="0" borderId="0" xfId="0" applyFont="1" applyAlignment="1">
      <alignment horizontal="left" vertical="top"/>
    </xf>
    <xf numFmtId="3" fontId="15" fillId="2" borderId="0" xfId="0" applyNumberFormat="1" applyFont="1" applyFill="1" applyBorder="1"/>
    <xf numFmtId="3" fontId="15" fillId="0" borderId="18" xfId="0" applyNumberFormat="1" applyFont="1" applyFill="1" applyBorder="1"/>
    <xf numFmtId="3" fontId="15" fillId="0" borderId="0" xfId="0" applyNumberFormat="1" applyFont="1" applyFill="1" applyBorder="1"/>
    <xf numFmtId="3" fontId="15" fillId="0" borderId="12" xfId="0" applyNumberFormat="1" applyFont="1" applyFill="1" applyBorder="1"/>
    <xf numFmtId="3" fontId="15" fillId="5" borderId="18" xfId="0" applyNumberFormat="1" applyFont="1" applyFill="1" applyBorder="1"/>
    <xf numFmtId="3" fontId="15" fillId="0" borderId="0" xfId="0" applyNumberFormat="1" applyFont="1" applyBorder="1"/>
    <xf numFmtId="3" fontId="15" fillId="0" borderId="12" xfId="0" applyNumberFormat="1" applyFont="1" applyBorder="1"/>
    <xf numFmtId="3" fontId="15" fillId="2" borderId="18" xfId="0" applyNumberFormat="1" applyFont="1" applyFill="1" applyBorder="1"/>
    <xf numFmtId="3" fontId="15" fillId="0" borderId="18" xfId="0" applyNumberFormat="1" applyFont="1" applyBorder="1"/>
    <xf numFmtId="3" fontId="31" fillId="0" borderId="12" xfId="0" applyNumberFormat="1" applyFont="1" applyBorder="1"/>
    <xf numFmtId="3" fontId="24" fillId="6" borderId="18" xfId="0" applyNumberFormat="1" applyFont="1" applyFill="1" applyBorder="1"/>
    <xf numFmtId="3" fontId="24" fillId="0" borderId="0" xfId="0" applyNumberFormat="1" applyFont="1" applyBorder="1"/>
    <xf numFmtId="3" fontId="24" fillId="0" borderId="12" xfId="0" applyNumberFormat="1" applyFont="1" applyBorder="1"/>
    <xf numFmtId="3" fontId="24" fillId="2" borderId="0" xfId="0" applyNumberFormat="1" applyFont="1" applyFill="1" applyBorder="1"/>
    <xf numFmtId="3" fontId="24" fillId="0" borderId="0" xfId="0" applyNumberFormat="1" applyFont="1" applyFill="1" applyBorder="1"/>
    <xf numFmtId="3" fontId="24" fillId="0" borderId="12" xfId="0" applyNumberFormat="1" applyFont="1" applyFill="1" applyBorder="1"/>
    <xf numFmtId="3" fontId="24" fillId="0" borderId="18" xfId="0" applyNumberFormat="1" applyFont="1" applyBorder="1"/>
    <xf numFmtId="3" fontId="31" fillId="0" borderId="12" xfId="0" applyNumberFormat="1" applyFont="1" applyBorder="1" applyAlignment="1">
      <alignment wrapText="1"/>
    </xf>
    <xf numFmtId="3" fontId="24" fillId="7" borderId="18" xfId="0" applyNumberFormat="1" applyFont="1" applyFill="1" applyBorder="1"/>
    <xf numFmtId="3" fontId="24" fillId="0" borderId="12" xfId="0" applyNumberFormat="1" applyFont="1" applyBorder="1" applyAlignment="1"/>
    <xf numFmtId="3" fontId="21" fillId="0" borderId="0" xfId="0" applyNumberFormat="1" applyFont="1" applyBorder="1" applyAlignment="1"/>
    <xf numFmtId="3" fontId="35" fillId="5" borderId="19" xfId="0" applyNumberFormat="1" applyFont="1" applyFill="1" applyBorder="1"/>
    <xf numFmtId="3" fontId="15" fillId="0" borderId="20" xfId="0" applyNumberFormat="1" applyFont="1" applyBorder="1"/>
    <xf numFmtId="3" fontId="15" fillId="0" borderId="19" xfId="0" applyNumberFormat="1" applyFont="1" applyBorder="1"/>
    <xf numFmtId="3" fontId="15" fillId="0" borderId="14" xfId="0" applyNumberFormat="1" applyFont="1" applyBorder="1"/>
    <xf numFmtId="3" fontId="29" fillId="0" borderId="0" xfId="0" applyNumberFormat="1" applyFont="1" applyFill="1" applyBorder="1"/>
    <xf numFmtId="3" fontId="29" fillId="0" borderId="0" xfId="0" applyNumberFormat="1" applyFont="1" applyBorder="1"/>
    <xf numFmtId="3" fontId="30" fillId="0" borderId="0" xfId="0" applyNumberFormat="1" applyFont="1" applyBorder="1"/>
    <xf numFmtId="3" fontId="14" fillId="0" borderId="7" xfId="0" applyNumberFormat="1" applyFont="1" applyBorder="1"/>
    <xf numFmtId="3" fontId="29" fillId="0" borderId="7" xfId="0" applyNumberFormat="1" applyFont="1" applyBorder="1"/>
    <xf numFmtId="0" fontId="13" fillId="0" borderId="0" xfId="0" applyFont="1" applyAlignment="1">
      <alignment horizontal="left" vertical="top"/>
    </xf>
    <xf numFmtId="0" fontId="13" fillId="0" borderId="0" xfId="0" applyFont="1"/>
    <xf numFmtId="2" fontId="13" fillId="0" borderId="0" xfId="0" applyNumberFormat="1" applyFont="1"/>
    <xf numFmtId="0" fontId="13" fillId="0" borderId="0" xfId="0" applyFont="1" applyAlignment="1">
      <alignment horizontal="left" indent="1"/>
    </xf>
    <xf numFmtId="0" fontId="13" fillId="3" borderId="11" xfId="0" applyFont="1" applyFill="1" applyBorder="1"/>
    <xf numFmtId="0" fontId="38" fillId="0" borderId="2" xfId="0" applyFont="1" applyBorder="1"/>
    <xf numFmtId="0" fontId="39" fillId="0" borderId="2" xfId="0" applyFont="1" applyBorder="1"/>
    <xf numFmtId="0" fontId="39" fillId="0" borderId="3" xfId="0" applyFont="1" applyBorder="1"/>
    <xf numFmtId="0" fontId="39" fillId="0" borderId="4" xfId="0" applyFont="1" applyBorder="1"/>
    <xf numFmtId="0" fontId="13" fillId="2" borderId="15" xfId="0" applyFont="1" applyFill="1" applyBorder="1"/>
    <xf numFmtId="0" fontId="13" fillId="5" borderId="11" xfId="0" applyFont="1" applyFill="1" applyBorder="1"/>
    <xf numFmtId="0" fontId="29" fillId="0" borderId="6" xfId="0" applyFont="1" applyBorder="1"/>
    <xf numFmtId="170" fontId="13" fillId="5" borderId="0" xfId="258" applyNumberFormat="1" applyFont="1" applyFill="1" applyAlignment="1">
      <alignment horizontal="right" vertical="top"/>
    </xf>
    <xf numFmtId="0" fontId="13" fillId="0" borderId="0" xfId="0" applyFont="1" applyBorder="1"/>
    <xf numFmtId="0" fontId="13" fillId="0" borderId="18" xfId="0" applyFont="1" applyBorder="1" applyAlignment="1">
      <alignment horizontal="left" vertical="top"/>
    </xf>
    <xf numFmtId="0" fontId="13" fillId="0" borderId="13" xfId="0" applyFont="1" applyBorder="1" applyAlignment="1">
      <alignment horizontal="left" vertical="top"/>
    </xf>
    <xf numFmtId="0" fontId="13" fillId="0" borderId="15" xfId="0" applyFont="1" applyBorder="1" applyAlignment="1">
      <alignment horizontal="left" vertical="top"/>
    </xf>
    <xf numFmtId="169" fontId="13" fillId="0" borderId="11" xfId="0" applyNumberFormat="1" applyFont="1" applyBorder="1" applyAlignment="1">
      <alignment horizontal="left" vertical="top"/>
    </xf>
    <xf numFmtId="168" fontId="13" fillId="0" borderId="11" xfId="0" applyNumberFormat="1" applyFont="1" applyBorder="1" applyAlignment="1">
      <alignment horizontal="left" vertical="top"/>
    </xf>
    <xf numFmtId="0" fontId="13" fillId="0" borderId="11" xfId="0" applyFont="1" applyBorder="1" applyAlignment="1">
      <alignment horizontal="left" vertical="top"/>
    </xf>
    <xf numFmtId="0" fontId="22" fillId="0" borderId="0" xfId="0" applyFont="1" applyBorder="1" applyAlignment="1">
      <alignment wrapText="1"/>
    </xf>
    <xf numFmtId="0" fontId="22" fillId="0" borderId="0" xfId="0" applyFont="1" applyBorder="1" applyAlignment="1">
      <alignment horizontal="left"/>
    </xf>
    <xf numFmtId="0" fontId="29" fillId="0" borderId="0" xfId="0" applyFont="1" applyAlignment="1">
      <alignment vertical="top" wrapText="1"/>
    </xf>
    <xf numFmtId="0" fontId="12" fillId="0" borderId="0" xfId="0" applyFont="1"/>
    <xf numFmtId="9" fontId="22" fillId="0" borderId="0" xfId="0" applyNumberFormat="1" applyFont="1"/>
    <xf numFmtId="3" fontId="21" fillId="0" borderId="0" xfId="0" applyNumberFormat="1" applyFont="1" applyFill="1" applyBorder="1"/>
    <xf numFmtId="3" fontId="13" fillId="0" borderId="0" xfId="0" applyNumberFormat="1" applyFont="1"/>
    <xf numFmtId="3" fontId="29" fillId="0" borderId="7" xfId="0" applyNumberFormat="1" applyFont="1" applyFill="1" applyBorder="1"/>
    <xf numFmtId="3" fontId="30" fillId="0" borderId="7" xfId="0" applyNumberFormat="1" applyFont="1" applyBorder="1"/>
    <xf numFmtId="3" fontId="0" fillId="0" borderId="0" xfId="0" applyNumberFormat="1"/>
    <xf numFmtId="3" fontId="22" fillId="0" borderId="17" xfId="0" applyNumberFormat="1" applyFont="1" applyBorder="1" applyAlignment="1">
      <alignment horizontal="left"/>
    </xf>
    <xf numFmtId="3" fontId="13" fillId="0" borderId="21" xfId="0" applyNumberFormat="1" applyFont="1" applyBorder="1" applyAlignment="1">
      <alignment horizontal="left"/>
    </xf>
    <xf numFmtId="3" fontId="13" fillId="0" borderId="16" xfId="0" applyNumberFormat="1" applyFont="1" applyBorder="1" applyAlignment="1">
      <alignment horizontal="left"/>
    </xf>
    <xf numFmtId="3" fontId="33" fillId="0" borderId="0" xfId="0" applyNumberFormat="1" applyFont="1" applyAlignment="1"/>
    <xf numFmtId="3" fontId="22" fillId="0" borderId="19" xfId="0" applyNumberFormat="1" applyFont="1" applyBorder="1"/>
    <xf numFmtId="3" fontId="29" fillId="0" borderId="19" xfId="0" applyNumberFormat="1" applyFont="1" applyBorder="1"/>
    <xf numFmtId="3" fontId="29" fillId="0" borderId="20" xfId="0" applyNumberFormat="1" applyFont="1" applyBorder="1"/>
    <xf numFmtId="3" fontId="29" fillId="0" borderId="14" xfId="0" applyNumberFormat="1" applyFont="1" applyBorder="1"/>
    <xf numFmtId="3" fontId="22" fillId="0" borderId="18" xfId="0" applyNumberFormat="1" applyFont="1" applyFill="1" applyBorder="1"/>
    <xf numFmtId="3" fontId="22" fillId="0" borderId="11" xfId="0" applyNumberFormat="1" applyFont="1" applyFill="1" applyBorder="1"/>
    <xf numFmtId="3" fontId="13" fillId="0" borderId="18" xfId="0" applyNumberFormat="1" applyFont="1" applyFill="1" applyBorder="1"/>
    <xf numFmtId="3" fontId="13" fillId="0" borderId="0" xfId="0" applyNumberFormat="1" applyFont="1" applyFill="1" applyBorder="1"/>
    <xf numFmtId="3" fontId="13" fillId="0" borderId="12" xfId="0" applyNumberFormat="1" applyFont="1" applyFill="1" applyBorder="1"/>
    <xf numFmtId="3" fontId="29" fillId="0" borderId="11" xfId="0" applyNumberFormat="1" applyFont="1" applyBorder="1" applyAlignment="1">
      <alignment wrapText="1"/>
    </xf>
    <xf numFmtId="3" fontId="13" fillId="0" borderId="18" xfId="0" applyNumberFormat="1" applyFont="1" applyBorder="1"/>
    <xf numFmtId="3" fontId="13" fillId="0" borderId="11" xfId="0" applyNumberFormat="1" applyFont="1" applyBorder="1"/>
    <xf numFmtId="3" fontId="13" fillId="5" borderId="18" xfId="0" applyNumberFormat="1" applyFont="1" applyFill="1" applyBorder="1"/>
    <xf numFmtId="3" fontId="12" fillId="0" borderId="0" xfId="0" applyNumberFormat="1" applyFont="1" applyBorder="1"/>
    <xf numFmtId="3" fontId="12" fillId="0" borderId="12" xfId="0" applyNumberFormat="1" applyFont="1" applyBorder="1"/>
    <xf numFmtId="3" fontId="13" fillId="2" borderId="0" xfId="0" applyNumberFormat="1" applyFont="1" applyFill="1" applyBorder="1"/>
    <xf numFmtId="3" fontId="29" fillId="0" borderId="11" xfId="0" applyNumberFormat="1" applyFont="1" applyBorder="1"/>
    <xf numFmtId="3" fontId="13" fillId="2" borderId="18" xfId="0" applyNumberFormat="1" applyFont="1" applyFill="1" applyBorder="1"/>
    <xf numFmtId="3" fontId="13" fillId="0" borderId="0" xfId="0" applyNumberFormat="1" applyFont="1" applyBorder="1"/>
    <xf numFmtId="3" fontId="13" fillId="0" borderId="12" xfId="0" applyNumberFormat="1" applyFont="1" applyBorder="1"/>
    <xf numFmtId="3" fontId="22" fillId="0" borderId="18" xfId="0" applyNumberFormat="1" applyFont="1" applyBorder="1"/>
    <xf numFmtId="3" fontId="22" fillId="0" borderId="11" xfId="0" applyNumberFormat="1" applyFont="1" applyBorder="1"/>
    <xf numFmtId="3" fontId="29" fillId="0" borderId="18" xfId="0" applyNumberFormat="1" applyFont="1" applyBorder="1"/>
    <xf numFmtId="3" fontId="26" fillId="0" borderId="18" xfId="0" applyNumberFormat="1" applyFont="1" applyBorder="1"/>
    <xf numFmtId="3" fontId="13" fillId="0" borderId="13" xfId="0" applyNumberFormat="1" applyFont="1" applyBorder="1"/>
    <xf numFmtId="3" fontId="13" fillId="0" borderId="19" xfId="0" applyNumberFormat="1" applyFont="1" applyBorder="1"/>
    <xf numFmtId="3" fontId="13" fillId="0" borderId="20" xfId="0" applyNumberFormat="1" applyFont="1" applyBorder="1"/>
    <xf numFmtId="3" fontId="13" fillId="0" borderId="14" xfId="0" applyNumberFormat="1" applyFont="1" applyBorder="1"/>
    <xf numFmtId="3" fontId="12" fillId="0" borderId="12" xfId="0" applyNumberFormat="1" applyFont="1" applyFill="1" applyBorder="1"/>
    <xf numFmtId="1" fontId="17" fillId="0" borderId="0" xfId="0" applyNumberFormat="1" applyFont="1" applyAlignment="1">
      <alignment horizontal="left" vertical="top"/>
    </xf>
    <xf numFmtId="0" fontId="11" fillId="0" borderId="0" xfId="0" applyFont="1"/>
    <xf numFmtId="0" fontId="11" fillId="0" borderId="0" xfId="0" applyFont="1" applyBorder="1"/>
    <xf numFmtId="3" fontId="11" fillId="0" borderId="12" xfId="0" applyNumberFormat="1" applyFont="1" applyBorder="1" applyAlignment="1">
      <alignment wrapText="1"/>
    </xf>
    <xf numFmtId="0" fontId="0" fillId="0" borderId="12" xfId="0" applyBorder="1"/>
    <xf numFmtId="0" fontId="15" fillId="0" borderId="0" xfId="0" applyFont="1" applyAlignment="1">
      <alignment horizontal="left"/>
    </xf>
    <xf numFmtId="0" fontId="15" fillId="0" borderId="0" xfId="0" applyFont="1" applyBorder="1" applyAlignment="1">
      <alignment horizontal="left"/>
    </xf>
    <xf numFmtId="9" fontId="15" fillId="3" borderId="0" xfId="0" applyNumberFormat="1" applyFont="1" applyFill="1" applyAlignment="1">
      <alignment horizontal="left"/>
    </xf>
    <xf numFmtId="9" fontId="15" fillId="3" borderId="0" xfId="0" applyNumberFormat="1" applyFont="1" applyFill="1" applyBorder="1" applyAlignment="1">
      <alignment horizontal="left"/>
    </xf>
    <xf numFmtId="3" fontId="37" fillId="0" borderId="0" xfId="0" applyNumberFormat="1" applyFont="1" applyBorder="1"/>
    <xf numFmtId="0" fontId="36" fillId="0" borderId="0" xfId="0" applyFont="1" applyFill="1" applyBorder="1"/>
    <xf numFmtId="0" fontId="11" fillId="0" borderId="0" xfId="0" applyFont="1" applyAlignment="1">
      <alignment horizontal="left" vertical="top"/>
    </xf>
    <xf numFmtId="171" fontId="0" fillId="0" borderId="0" xfId="0" applyNumberFormat="1"/>
    <xf numFmtId="9" fontId="15" fillId="0" borderId="0" xfId="0" applyNumberFormat="1" applyFont="1" applyFill="1" applyAlignment="1">
      <alignment horizontal="left"/>
    </xf>
    <xf numFmtId="3" fontId="31" fillId="0" borderId="12" xfId="0" applyNumberFormat="1" applyFont="1" applyFill="1" applyBorder="1"/>
    <xf numFmtId="0" fontId="36" fillId="0" borderId="8" xfId="0" applyFont="1" applyBorder="1"/>
    <xf numFmtId="171" fontId="0" fillId="0" borderId="0" xfId="0" applyNumberFormat="1" applyAlignment="1">
      <alignment horizontal="left" vertical="top"/>
    </xf>
    <xf numFmtId="0" fontId="11" fillId="0" borderId="17" xfId="0" applyFont="1" applyBorder="1"/>
    <xf numFmtId="0" fontId="11" fillId="0" borderId="21" xfId="0" applyFont="1" applyBorder="1"/>
    <xf numFmtId="0" fontId="11" fillId="0" borderId="16" xfId="0" applyFont="1" applyBorder="1"/>
    <xf numFmtId="0" fontId="11" fillId="0" borderId="12" xfId="0" applyFont="1" applyBorder="1"/>
    <xf numFmtId="0" fontId="11" fillId="0" borderId="0" xfId="0" applyFont="1" applyFill="1" applyBorder="1"/>
    <xf numFmtId="0" fontId="11" fillId="0" borderId="14" xfId="0" applyFont="1" applyBorder="1"/>
    <xf numFmtId="0" fontId="21" fillId="0" borderId="12" xfId="0" applyFont="1" applyBorder="1"/>
    <xf numFmtId="171" fontId="11" fillId="0" borderId="0" xfId="1" applyNumberFormat="1" applyFont="1" applyBorder="1"/>
    <xf numFmtId="0" fontId="11" fillId="0" borderId="17" xfId="0" applyFont="1" applyFill="1" applyBorder="1"/>
    <xf numFmtId="0" fontId="11" fillId="0" borderId="21" xfId="0" applyFont="1" applyFill="1" applyBorder="1"/>
    <xf numFmtId="171" fontId="11" fillId="0" borderId="0" xfId="1" applyNumberFormat="1" applyFont="1" applyFill="1" applyBorder="1"/>
    <xf numFmtId="0" fontId="11" fillId="0" borderId="18" xfId="0" applyFont="1" applyFill="1" applyBorder="1" applyAlignment="1">
      <alignment horizontal="left" indent="1"/>
    </xf>
    <xf numFmtId="0" fontId="21" fillId="0" borderId="0" xfId="0" applyFont="1" applyFill="1" applyBorder="1"/>
    <xf numFmtId="171" fontId="11" fillId="8" borderId="0" xfId="1" applyNumberFormat="1" applyFont="1" applyFill="1" applyBorder="1"/>
    <xf numFmtId="0" fontId="21" fillId="8" borderId="0" xfId="0" applyFont="1" applyFill="1" applyBorder="1"/>
    <xf numFmtId="0" fontId="11" fillId="8" borderId="0" xfId="0" applyFont="1" applyFill="1" applyBorder="1"/>
    <xf numFmtId="0" fontId="11" fillId="8" borderId="20" xfId="0" applyFont="1" applyFill="1" applyBorder="1"/>
    <xf numFmtId="0" fontId="22" fillId="0" borderId="15" xfId="0" applyFont="1" applyFill="1" applyBorder="1" applyAlignment="1">
      <alignment horizontal="center"/>
    </xf>
    <xf numFmtId="0" fontId="0" fillId="0" borderId="12" xfId="0" applyBorder="1" applyAlignment="1">
      <alignment horizontal="left"/>
    </xf>
    <xf numFmtId="0" fontId="22" fillId="0" borderId="21" xfId="0" applyFont="1" applyFill="1" applyBorder="1"/>
    <xf numFmtId="0" fontId="22" fillId="0" borderId="16" xfId="0" applyFont="1" applyBorder="1"/>
    <xf numFmtId="0" fontId="11" fillId="0" borderId="0" xfId="0" applyFont="1" applyFill="1"/>
    <xf numFmtId="9" fontId="0" fillId="0" borderId="0" xfId="0" applyNumberFormat="1" applyAlignment="1">
      <alignment horizontal="left"/>
    </xf>
    <xf numFmtId="170" fontId="0" fillId="0" borderId="0" xfId="258" applyNumberFormat="1" applyFont="1"/>
    <xf numFmtId="0" fontId="24" fillId="9" borderId="13" xfId="0" applyFont="1" applyFill="1" applyBorder="1"/>
    <xf numFmtId="0" fontId="10" fillId="0" borderId="0" xfId="0" applyFont="1"/>
    <xf numFmtId="0" fontId="9" fillId="0" borderId="0" xfId="0" applyFont="1"/>
    <xf numFmtId="0" fontId="9" fillId="0" borderId="0" xfId="0" applyFont="1" applyBorder="1"/>
    <xf numFmtId="169" fontId="24" fillId="0" borderId="0" xfId="0" applyNumberFormat="1" applyFont="1" applyBorder="1"/>
    <xf numFmtId="0" fontId="9" fillId="0" borderId="18" xfId="0" applyFont="1" applyBorder="1"/>
    <xf numFmtId="171" fontId="24" fillId="0" borderId="0" xfId="1" applyNumberFormat="1" applyFont="1" applyBorder="1"/>
    <xf numFmtId="0" fontId="9" fillId="0" borderId="11" xfId="0" applyFont="1" applyBorder="1"/>
    <xf numFmtId="0" fontId="9" fillId="0" borderId="11" xfId="0" applyFont="1" applyBorder="1" applyAlignment="1">
      <alignment vertical="center" wrapText="1"/>
    </xf>
    <xf numFmtId="0" fontId="26" fillId="0" borderId="0" xfId="0" applyFont="1" applyFill="1" applyBorder="1"/>
    <xf numFmtId="9" fontId="35" fillId="3" borderId="0" xfId="194" applyFont="1" applyFill="1"/>
    <xf numFmtId="3" fontId="41" fillId="0" borderId="7" xfId="0" applyNumberFormat="1" applyFont="1" applyFill="1" applyBorder="1"/>
    <xf numFmtId="0" fontId="21" fillId="0" borderId="0" xfId="0" applyFont="1" applyAlignment="1">
      <alignment horizontal="left" vertical="top"/>
    </xf>
    <xf numFmtId="0" fontId="8" fillId="0" borderId="0" xfId="0" applyFont="1" applyAlignment="1">
      <alignment horizontal="left" vertical="top"/>
    </xf>
    <xf numFmtId="169" fontId="35" fillId="0" borderId="11" xfId="0" applyNumberFormat="1" applyFont="1" applyBorder="1" applyAlignment="1">
      <alignment horizontal="left" vertical="top"/>
    </xf>
    <xf numFmtId="0" fontId="41" fillId="0" borderId="11" xfId="0" applyFont="1" applyBorder="1" applyAlignment="1">
      <alignment horizontal="left" vertical="top" wrapText="1"/>
    </xf>
    <xf numFmtId="169" fontId="9" fillId="0" borderId="18" xfId="0" applyNumberFormat="1" applyFont="1" applyBorder="1"/>
    <xf numFmtId="169" fontId="9" fillId="0" borderId="11" xfId="0" applyNumberFormat="1" applyFont="1" applyBorder="1"/>
    <xf numFmtId="169" fontId="9" fillId="0" borderId="18" xfId="0" applyNumberFormat="1" applyFont="1" applyBorder="1" applyAlignment="1">
      <alignment vertical="center" wrapText="1"/>
    </xf>
    <xf numFmtId="169" fontId="22" fillId="0" borderId="18" xfId="0" applyNumberFormat="1" applyFont="1" applyBorder="1"/>
    <xf numFmtId="169" fontId="0" fillId="0" borderId="0" xfId="0" applyNumberFormat="1"/>
    <xf numFmtId="0" fontId="8" fillId="0" borderId="11" xfId="0" applyFont="1" applyBorder="1"/>
    <xf numFmtId="0" fontId="8" fillId="0" borderId="0" xfId="0" applyFont="1"/>
    <xf numFmtId="0" fontId="22" fillId="0" borderId="0" xfId="0" applyFont="1" applyFill="1"/>
    <xf numFmtId="171" fontId="22" fillId="0" borderId="0" xfId="0" applyNumberFormat="1" applyFont="1" applyFill="1"/>
    <xf numFmtId="0" fontId="13" fillId="0" borderId="0" xfId="0" applyFont="1" applyFill="1"/>
    <xf numFmtId="0" fontId="0" fillId="0" borderId="0" xfId="0" applyFill="1"/>
    <xf numFmtId="0" fontId="13" fillId="0" borderId="0" xfId="0" applyFont="1" applyFill="1" applyAlignment="1">
      <alignment horizontal="left" indent="1"/>
    </xf>
    <xf numFmtId="169" fontId="8" fillId="0" borderId="0" xfId="0" applyNumberFormat="1" applyFont="1" applyFill="1"/>
    <xf numFmtId="172" fontId="13" fillId="0" borderId="0" xfId="0" applyNumberFormat="1" applyFont="1" applyFill="1"/>
    <xf numFmtId="9" fontId="0" fillId="0" borderId="0" xfId="0" applyNumberFormat="1"/>
    <xf numFmtId="9" fontId="0" fillId="0" borderId="0" xfId="194" applyFont="1"/>
    <xf numFmtId="167" fontId="0" fillId="0" borderId="0" xfId="0" applyNumberFormat="1"/>
    <xf numFmtId="3" fontId="35" fillId="4" borderId="0" xfId="0" applyNumberFormat="1" applyFont="1" applyFill="1" applyBorder="1"/>
    <xf numFmtId="3" fontId="41" fillId="0" borderId="0" xfId="0" applyNumberFormat="1" applyFont="1" applyFill="1" applyBorder="1"/>
    <xf numFmtId="3" fontId="8" fillId="0" borderId="12" xfId="0" applyNumberFormat="1" applyFont="1" applyBorder="1"/>
    <xf numFmtId="170" fontId="15" fillId="0" borderId="0" xfId="0" applyNumberFormat="1" applyFont="1"/>
    <xf numFmtId="175" fontId="0" fillId="0" borderId="0" xfId="194" applyNumberFormat="1" applyFont="1"/>
    <xf numFmtId="3" fontId="41" fillId="0" borderId="7" xfId="0" applyNumberFormat="1" applyFont="1" applyBorder="1"/>
    <xf numFmtId="3" fontId="35" fillId="0" borderId="0" xfId="0" applyNumberFormat="1" applyFont="1" applyBorder="1"/>
    <xf numFmtId="3" fontId="35" fillId="0" borderId="12" xfId="0" applyNumberFormat="1" applyFont="1" applyBorder="1" applyAlignment="1"/>
    <xf numFmtId="3" fontId="35" fillId="0" borderId="0" xfId="0" applyNumberFormat="1" applyFont="1" applyBorder="1" applyAlignment="1"/>
    <xf numFmtId="175" fontId="35" fillId="3" borderId="0" xfId="0" applyNumberFormat="1" applyFont="1" applyFill="1" applyAlignment="1">
      <alignment horizontal="left"/>
    </xf>
    <xf numFmtId="9" fontId="35" fillId="3" borderId="0" xfId="0" applyNumberFormat="1" applyFont="1" applyFill="1" applyAlignment="1">
      <alignment horizontal="left"/>
    </xf>
    <xf numFmtId="171" fontId="9" fillId="0" borderId="18" xfId="1" applyNumberFormat="1" applyFont="1" applyBorder="1"/>
    <xf numFmtId="171" fontId="24" fillId="0" borderId="11" xfId="1" applyNumberFormat="1" applyFont="1" applyBorder="1"/>
    <xf numFmtId="171" fontId="9" fillId="0" borderId="11" xfId="1" applyNumberFormat="1" applyFont="1" applyBorder="1"/>
    <xf numFmtId="171" fontId="9" fillId="0" borderId="18" xfId="1" applyNumberFormat="1" applyFont="1" applyBorder="1" applyAlignment="1">
      <alignment vertical="center" wrapText="1"/>
    </xf>
    <xf numFmtId="0" fontId="7" fillId="0" borderId="0" xfId="0" applyFont="1"/>
    <xf numFmtId="3" fontId="7" fillId="0" borderId="12" xfId="0" applyNumberFormat="1" applyFont="1" applyBorder="1"/>
    <xf numFmtId="3" fontId="35" fillId="0" borderId="12" xfId="0" applyNumberFormat="1" applyFont="1" applyBorder="1" applyAlignment="1">
      <alignment wrapText="1"/>
    </xf>
    <xf numFmtId="3" fontId="35" fillId="7" borderId="0" xfId="0" applyNumberFormat="1" applyFont="1" applyFill="1" applyBorder="1"/>
    <xf numFmtId="3" fontId="35" fillId="2" borderId="0" xfId="0" applyNumberFormat="1" applyFont="1" applyFill="1"/>
    <xf numFmtId="0" fontId="31" fillId="0" borderId="12" xfId="0" applyFont="1" applyBorder="1"/>
    <xf numFmtId="0" fontId="26" fillId="0" borderId="11" xfId="0" applyFont="1" applyBorder="1" applyAlignment="1">
      <alignment horizontal="left" vertical="top" wrapText="1"/>
    </xf>
    <xf numFmtId="0" fontId="41" fillId="0" borderId="11" xfId="0" applyFont="1" applyFill="1" applyBorder="1" applyAlignment="1">
      <alignment horizontal="left" vertical="top"/>
    </xf>
    <xf numFmtId="0" fontId="7" fillId="0" borderId="0" xfId="0" applyFont="1" applyAlignment="1">
      <alignment wrapText="1"/>
    </xf>
    <xf numFmtId="176" fontId="15" fillId="3" borderId="0" xfId="0" applyNumberFormat="1" applyFont="1" applyFill="1" applyBorder="1" applyAlignment="1">
      <alignment horizontal="left"/>
    </xf>
    <xf numFmtId="0" fontId="43" fillId="0" borderId="0" xfId="0" applyFont="1"/>
    <xf numFmtId="0" fontId="43" fillId="0" borderId="0" xfId="0" applyFont="1" applyFill="1"/>
    <xf numFmtId="171" fontId="33" fillId="0" borderId="0" xfId="1" applyNumberFormat="1" applyFont="1"/>
    <xf numFmtId="171" fontId="35" fillId="0" borderId="0" xfId="1" applyNumberFormat="1" applyFont="1"/>
    <xf numFmtId="171" fontId="33" fillId="0" borderId="0" xfId="0" applyNumberFormat="1" applyFont="1"/>
    <xf numFmtId="0" fontId="35" fillId="0" borderId="0" xfId="0" applyFont="1" applyFill="1"/>
    <xf numFmtId="0" fontId="7" fillId="0" borderId="0" xfId="0" applyFont="1" applyAlignment="1">
      <alignment horizontal="left" indent="1"/>
    </xf>
    <xf numFmtId="0" fontId="7" fillId="0" borderId="0" xfId="0" applyFont="1" applyFill="1" applyAlignment="1">
      <alignment horizontal="left" indent="1"/>
    </xf>
    <xf numFmtId="0" fontId="29" fillId="0" borderId="0" xfId="0" applyFont="1" applyAlignment="1">
      <alignment horizontal="left" indent="1"/>
    </xf>
    <xf numFmtId="0" fontId="22" fillId="0" borderId="24" xfId="0" applyFont="1" applyBorder="1" applyAlignment="1">
      <alignment horizontal="left" indent="1"/>
    </xf>
    <xf numFmtId="0" fontId="22" fillId="0" borderId="24" xfId="0" applyFont="1" applyBorder="1"/>
    <xf numFmtId="0" fontId="22" fillId="0" borderId="24" xfId="0" applyFont="1" applyFill="1" applyBorder="1" applyAlignment="1">
      <alignment horizontal="left" indent="1"/>
    </xf>
    <xf numFmtId="0" fontId="22" fillId="0" borderId="0" xfId="0" applyFont="1" applyBorder="1" applyAlignment="1">
      <alignment horizontal="left" indent="1"/>
    </xf>
    <xf numFmtId="0" fontId="22" fillId="0" borderId="0" xfId="0" applyFont="1" applyFill="1" applyBorder="1" applyAlignment="1">
      <alignment horizontal="left" indent="1"/>
    </xf>
    <xf numFmtId="9" fontId="22" fillId="0" borderId="25" xfId="194" applyFont="1" applyFill="1" applyBorder="1" applyAlignment="1">
      <alignment horizontal="left"/>
    </xf>
    <xf numFmtId="9" fontId="22" fillId="0" borderId="0" xfId="194" applyFont="1" applyFill="1" applyBorder="1" applyAlignment="1">
      <alignment horizontal="left"/>
    </xf>
    <xf numFmtId="0" fontId="22" fillId="0" borderId="24" xfId="0" applyFont="1" applyFill="1" applyBorder="1"/>
    <xf numFmtId="0" fontId="22" fillId="0" borderId="0" xfId="0" applyFont="1" applyFill="1" applyBorder="1"/>
    <xf numFmtId="0" fontId="41" fillId="0" borderId="0" xfId="0" applyFont="1"/>
    <xf numFmtId="0" fontId="33" fillId="0" borderId="0" xfId="0" applyFont="1"/>
    <xf numFmtId="0" fontId="35" fillId="0" borderId="0" xfId="0" applyFont="1"/>
    <xf numFmtId="171" fontId="33" fillId="0" borderId="24" xfId="0" applyNumberFormat="1" applyFont="1" applyBorder="1"/>
    <xf numFmtId="0" fontId="41" fillId="0" borderId="0" xfId="0" applyFont="1" applyBorder="1"/>
    <xf numFmtId="0" fontId="35" fillId="0" borderId="0" xfId="0" applyFont="1" applyBorder="1"/>
    <xf numFmtId="0" fontId="35" fillId="0" borderId="0" xfId="0" applyFont="1" applyFill="1" applyBorder="1"/>
    <xf numFmtId="0" fontId="35" fillId="0" borderId="0" xfId="0" applyFont="1" applyFill="1" applyBorder="1" applyAlignment="1">
      <alignment wrapText="1"/>
    </xf>
    <xf numFmtId="0" fontId="41" fillId="0" borderId="0" xfId="0" applyFont="1" applyFill="1" applyBorder="1"/>
    <xf numFmtId="171" fontId="33" fillId="0" borderId="0" xfId="1" applyNumberFormat="1" applyFont="1" applyFill="1" applyBorder="1"/>
    <xf numFmtId="171" fontId="35" fillId="0" borderId="0" xfId="0" applyNumberFormat="1" applyFont="1"/>
    <xf numFmtId="171" fontId="33" fillId="0" borderId="24" xfId="0" applyNumberFormat="1" applyFont="1" applyFill="1" applyBorder="1"/>
    <xf numFmtId="171" fontId="35" fillId="0" borderId="0" xfId="0" applyNumberFormat="1" applyFont="1" applyBorder="1"/>
    <xf numFmtId="171" fontId="35" fillId="0" borderId="0" xfId="1" applyNumberFormat="1" applyFont="1" applyBorder="1"/>
    <xf numFmtId="171" fontId="35" fillId="0" borderId="0" xfId="0" applyNumberFormat="1" applyFont="1" applyFill="1"/>
    <xf numFmtId="168" fontId="35" fillId="0" borderId="0" xfId="1" applyNumberFormat="1" applyFont="1" applyFill="1"/>
    <xf numFmtId="168" fontId="33" fillId="0" borderId="24" xfId="0" applyNumberFormat="1" applyFont="1" applyFill="1" applyBorder="1"/>
    <xf numFmtId="171" fontId="33" fillId="0" borderId="25" xfId="1" applyNumberFormat="1" applyFont="1" applyFill="1" applyBorder="1"/>
    <xf numFmtId="0" fontId="42" fillId="10" borderId="0" xfId="0" applyFont="1" applyFill="1" applyAlignment="1">
      <alignment horizontal="left"/>
    </xf>
    <xf numFmtId="0" fontId="42" fillId="10" borderId="0" xfId="0" applyFont="1" applyFill="1"/>
    <xf numFmtId="169" fontId="22" fillId="0" borderId="0" xfId="0" applyNumberFormat="1" applyFont="1"/>
    <xf numFmtId="170" fontId="7" fillId="0" borderId="0" xfId="258" applyNumberFormat="1" applyFont="1"/>
    <xf numFmtId="171" fontId="0" fillId="0" borderId="0" xfId="1" applyNumberFormat="1" applyFont="1"/>
    <xf numFmtId="166" fontId="35" fillId="0" borderId="0" xfId="1" applyFont="1"/>
    <xf numFmtId="0" fontId="26" fillId="0" borderId="0" xfId="0" applyFont="1" applyAlignment="1">
      <alignment wrapText="1"/>
    </xf>
    <xf numFmtId="0" fontId="33" fillId="0" borderId="18" xfId="0" applyFont="1" applyBorder="1"/>
    <xf numFmtId="0" fontId="35" fillId="0" borderId="18" xfId="0" applyFont="1" applyBorder="1"/>
    <xf numFmtId="0" fontId="6" fillId="0" borderId="0" xfId="0" applyFont="1"/>
    <xf numFmtId="0" fontId="26" fillId="0" borderId="0" xfId="0" applyFont="1" applyBorder="1" applyAlignment="1">
      <alignment horizontal="left" wrapText="1"/>
    </xf>
    <xf numFmtId="168" fontId="7" fillId="0" borderId="0" xfId="0" applyNumberFormat="1" applyFont="1" applyAlignment="1">
      <alignment horizontal="left" indent="1"/>
    </xf>
    <xf numFmtId="168" fontId="22" fillId="0" borderId="0" xfId="0" applyNumberFormat="1" applyFont="1" applyBorder="1" applyAlignment="1">
      <alignment horizontal="left" indent="1"/>
    </xf>
    <xf numFmtId="168" fontId="22" fillId="0" borderId="0" xfId="0" applyNumberFormat="1" applyFont="1" applyAlignment="1">
      <alignment horizontal="left"/>
    </xf>
    <xf numFmtId="168" fontId="22" fillId="0" borderId="0" xfId="0" applyNumberFormat="1" applyFont="1" applyFill="1" applyBorder="1" applyAlignment="1">
      <alignment horizontal="left" indent="1"/>
    </xf>
    <xf numFmtId="168" fontId="22" fillId="0" borderId="0" xfId="0" applyNumberFormat="1" applyFont="1" applyFill="1"/>
    <xf numFmtId="168" fontId="22" fillId="0" borderId="0" xfId="194" applyNumberFormat="1" applyFont="1" applyFill="1" applyBorder="1" applyAlignment="1">
      <alignment horizontal="left"/>
    </xf>
    <xf numFmtId="168" fontId="0" fillId="0" borderId="0" xfId="0" applyNumberFormat="1"/>
    <xf numFmtId="177" fontId="29" fillId="0" borderId="0" xfId="0" applyNumberFormat="1" applyFont="1" applyAlignment="1">
      <alignment horizontal="left" indent="1"/>
    </xf>
    <xf numFmtId="168" fontId="6" fillId="0" borderId="0" xfId="0" applyNumberFormat="1" applyFont="1" applyAlignment="1">
      <alignment horizontal="left" indent="1"/>
    </xf>
    <xf numFmtId="169" fontId="26" fillId="0" borderId="0" xfId="0" applyNumberFormat="1" applyFont="1" applyAlignment="1">
      <alignment wrapText="1"/>
    </xf>
    <xf numFmtId="9" fontId="6" fillId="0" borderId="0" xfId="0" applyNumberFormat="1" applyFont="1"/>
    <xf numFmtId="164" fontId="29" fillId="0" borderId="0" xfId="0" applyNumberFormat="1" applyFont="1"/>
    <xf numFmtId="10" fontId="22" fillId="0" borderId="0" xfId="0" applyNumberFormat="1" applyFont="1"/>
    <xf numFmtId="9" fontId="29" fillId="0" borderId="0" xfId="0" applyNumberFormat="1" applyFont="1"/>
    <xf numFmtId="171" fontId="29" fillId="0" borderId="0" xfId="0" applyNumberFormat="1" applyFont="1"/>
    <xf numFmtId="176" fontId="35" fillId="0" borderId="0" xfId="0" applyNumberFormat="1" applyFont="1" applyBorder="1"/>
    <xf numFmtId="9" fontId="35" fillId="0" borderId="0" xfId="0" applyNumberFormat="1" applyFont="1" applyBorder="1"/>
    <xf numFmtId="0" fontId="5" fillId="0" borderId="0" xfId="0" applyFont="1"/>
    <xf numFmtId="166" fontId="22" fillId="0" borderId="0" xfId="1" applyFont="1"/>
    <xf numFmtId="0" fontId="5" fillId="0" borderId="11" xfId="0" applyFont="1" applyBorder="1"/>
    <xf numFmtId="0" fontId="35" fillId="0" borderId="11" xfId="0" applyFont="1" applyBorder="1"/>
    <xf numFmtId="0" fontId="5" fillId="0" borderId="18" xfId="0" applyFont="1" applyBorder="1"/>
    <xf numFmtId="0" fontId="5" fillId="0" borderId="19" xfId="0" applyFont="1" applyBorder="1"/>
    <xf numFmtId="0" fontId="5" fillId="0" borderId="19" xfId="0" applyFont="1" applyBorder="1" applyAlignment="1">
      <alignment horizontal="left" indent="1"/>
    </xf>
    <xf numFmtId="0" fontId="5" fillId="0" borderId="11" xfId="0" applyFont="1" applyBorder="1" applyAlignment="1">
      <alignment horizontal="left" wrapText="1"/>
    </xf>
    <xf numFmtId="0" fontId="32" fillId="0" borderId="0" xfId="257" applyFont="1" applyAlignment="1">
      <alignment vertical="top"/>
    </xf>
    <xf numFmtId="9" fontId="5" fillId="0" borderId="18" xfId="0" applyNumberFormat="1" applyFont="1" applyBorder="1"/>
    <xf numFmtId="0" fontId="5" fillId="0" borderId="0" xfId="0" applyFont="1" applyAlignment="1">
      <alignment wrapText="1"/>
    </xf>
    <xf numFmtId="3" fontId="35" fillId="3" borderId="18" xfId="0" applyNumberFormat="1" applyFont="1" applyFill="1" applyBorder="1"/>
    <xf numFmtId="3" fontId="35" fillId="5" borderId="18" xfId="0" applyNumberFormat="1" applyFont="1" applyFill="1" applyBorder="1"/>
    <xf numFmtId="3" fontId="33" fillId="0" borderId="18" xfId="258" applyNumberFormat="1" applyFont="1" applyBorder="1"/>
    <xf numFmtId="3" fontId="33" fillId="0" borderId="18" xfId="0" applyNumberFormat="1" applyFont="1" applyBorder="1"/>
    <xf numFmtId="3" fontId="35" fillId="3" borderId="11" xfId="0" applyNumberFormat="1" applyFont="1" applyFill="1" applyBorder="1"/>
    <xf numFmtId="3" fontId="35" fillId="5" borderId="11" xfId="0" applyNumberFormat="1" applyFont="1" applyFill="1" applyBorder="1"/>
    <xf numFmtId="3" fontId="33" fillId="0" borderId="11" xfId="258" applyNumberFormat="1" applyFont="1" applyBorder="1"/>
    <xf numFmtId="3" fontId="33" fillId="0" borderId="11" xfId="0" applyNumberFormat="1" applyFont="1" applyBorder="1"/>
    <xf numFmtId="0" fontId="13" fillId="0" borderId="21" xfId="0" applyFont="1" applyBorder="1"/>
    <xf numFmtId="3" fontId="35" fillId="3" borderId="15" xfId="0" applyNumberFormat="1" applyFont="1" applyFill="1" applyBorder="1"/>
    <xf numFmtId="3" fontId="35" fillId="3" borderId="17" xfId="0" applyNumberFormat="1" applyFont="1" applyFill="1" applyBorder="1"/>
    <xf numFmtId="0" fontId="13" fillId="0" borderId="25" xfId="0" applyFont="1" applyBorder="1"/>
    <xf numFmtId="3" fontId="21" fillId="0" borderId="26" xfId="0" applyNumberFormat="1" applyFont="1" applyFill="1" applyBorder="1"/>
    <xf numFmtId="3" fontId="21" fillId="0" borderId="27" xfId="0" applyNumberFormat="1" applyFont="1" applyFill="1" applyBorder="1"/>
    <xf numFmtId="0" fontId="0" fillId="0" borderId="0" xfId="0" applyFont="1"/>
    <xf numFmtId="0" fontId="5" fillId="0" borderId="17" xfId="0" applyFont="1" applyBorder="1"/>
    <xf numFmtId="0" fontId="13" fillId="0" borderId="27" xfId="0" applyFont="1" applyBorder="1"/>
    <xf numFmtId="9" fontId="5" fillId="0" borderId="11" xfId="0" applyNumberFormat="1" applyFont="1" applyBorder="1"/>
    <xf numFmtId="0" fontId="22" fillId="0" borderId="21" xfId="0" applyFont="1" applyBorder="1"/>
    <xf numFmtId="0" fontId="22" fillId="0" borderId="25" xfId="0" applyFont="1" applyBorder="1"/>
    <xf numFmtId="9" fontId="12" fillId="0" borderId="26" xfId="0" applyNumberFormat="1" applyFont="1" applyBorder="1"/>
    <xf numFmtId="9" fontId="12" fillId="0" borderId="25" xfId="0" applyNumberFormat="1" applyFont="1" applyBorder="1"/>
    <xf numFmtId="0" fontId="22" fillId="0" borderId="11" xfId="0" applyFont="1" applyBorder="1" applyAlignment="1">
      <alignment horizontal="left"/>
    </xf>
    <xf numFmtId="4" fontId="29" fillId="0" borderId="18" xfId="0" applyNumberFormat="1" applyFont="1" applyBorder="1" applyAlignment="1">
      <alignment wrapText="1"/>
    </xf>
    <xf numFmtId="0" fontId="5" fillId="0" borderId="0" xfId="0" applyFont="1" applyAlignment="1">
      <alignment horizontal="left" vertical="top"/>
    </xf>
    <xf numFmtId="0" fontId="5" fillId="0" borderId="0" xfId="0" applyFont="1" applyAlignment="1">
      <alignment vertical="top" wrapText="1"/>
    </xf>
    <xf numFmtId="3" fontId="34" fillId="0" borderId="0" xfId="0" applyNumberFormat="1" applyFont="1" applyFill="1" applyBorder="1"/>
    <xf numFmtId="3" fontId="44" fillId="0" borderId="5" xfId="0" applyNumberFormat="1" applyFont="1" applyBorder="1"/>
    <xf numFmtId="3" fontId="44" fillId="0" borderId="5" xfId="0" applyNumberFormat="1" applyFont="1" applyBorder="1" applyAlignment="1">
      <alignment wrapText="1"/>
    </xf>
    <xf numFmtId="3" fontId="44" fillId="0" borderId="8" xfId="0" applyNumberFormat="1" applyFont="1" applyBorder="1"/>
    <xf numFmtId="3" fontId="21" fillId="0" borderId="0" xfId="0" applyNumberFormat="1" applyFont="1"/>
    <xf numFmtId="0" fontId="0" fillId="0" borderId="0" xfId="0" applyFont="1" applyAlignment="1">
      <alignment horizontal="left" vertical="top"/>
    </xf>
    <xf numFmtId="0" fontId="5" fillId="0" borderId="11" xfId="0" applyFont="1" applyBorder="1" applyAlignment="1">
      <alignment horizontal="left" vertical="top"/>
    </xf>
    <xf numFmtId="169" fontId="5" fillId="0" borderId="11" xfId="0" applyNumberFormat="1" applyFont="1" applyBorder="1" applyAlignment="1">
      <alignment horizontal="left" vertical="top"/>
    </xf>
    <xf numFmtId="168" fontId="5" fillId="0" borderId="11" xfId="0" applyNumberFormat="1" applyFont="1" applyBorder="1" applyAlignment="1">
      <alignment horizontal="left" vertical="top"/>
    </xf>
    <xf numFmtId="0" fontId="26" fillId="0" borderId="27" xfId="0" applyFont="1" applyBorder="1" applyAlignment="1">
      <alignment horizontal="left" vertical="top"/>
    </xf>
    <xf numFmtId="0" fontId="29" fillId="0" borderId="28" xfId="0" applyFont="1" applyBorder="1" applyAlignment="1">
      <alignment horizontal="left" vertical="top"/>
    </xf>
    <xf numFmtId="169" fontId="13" fillId="0" borderId="26" xfId="0" applyNumberFormat="1" applyFont="1" applyBorder="1" applyAlignment="1">
      <alignment horizontal="left" vertical="top"/>
    </xf>
    <xf numFmtId="168" fontId="13" fillId="0" borderId="26" xfId="0" applyNumberFormat="1" applyFont="1" applyBorder="1" applyAlignment="1">
      <alignment horizontal="left" vertical="top"/>
    </xf>
    <xf numFmtId="0" fontId="5" fillId="0" borderId="0" xfId="0" applyFont="1" applyAlignment="1">
      <alignment horizontal="left" vertical="top" wrapText="1"/>
    </xf>
    <xf numFmtId="0" fontId="26" fillId="0" borderId="13" xfId="0" applyFont="1" applyBorder="1"/>
    <xf numFmtId="171" fontId="26" fillId="0" borderId="13" xfId="1" applyNumberFormat="1" applyFont="1" applyBorder="1"/>
    <xf numFmtId="0" fontId="24" fillId="0" borderId="27" xfId="0" applyFont="1" applyBorder="1"/>
    <xf numFmtId="0" fontId="24" fillId="0" borderId="26" xfId="0" applyFont="1" applyBorder="1"/>
    <xf numFmtId="169" fontId="24" fillId="0" borderId="27" xfId="0" applyNumberFormat="1" applyFont="1" applyBorder="1"/>
    <xf numFmtId="169" fontId="24" fillId="0" borderId="26" xfId="0" applyNumberFormat="1" applyFont="1" applyBorder="1"/>
    <xf numFmtId="0" fontId="37" fillId="0" borderId="26" xfId="0" applyFont="1" applyBorder="1" applyAlignment="1">
      <alignment horizontal="left" vertical="top" wrapText="1"/>
    </xf>
    <xf numFmtId="171" fontId="35" fillId="0" borderId="18" xfId="1" applyNumberFormat="1" applyFont="1" applyBorder="1"/>
    <xf numFmtId="171" fontId="24" fillId="0" borderId="27" xfId="1" applyNumberFormat="1" applyFont="1" applyBorder="1"/>
    <xf numFmtId="171" fontId="24" fillId="0" borderId="26" xfId="1" applyNumberFormat="1" applyFont="1" applyBorder="1"/>
    <xf numFmtId="0" fontId="5" fillId="0" borderId="0" xfId="0" applyFont="1" applyAlignment="1">
      <alignment vertical="top"/>
    </xf>
    <xf numFmtId="3" fontId="5" fillId="0" borderId="12" xfId="0" applyNumberFormat="1" applyFont="1" applyBorder="1"/>
    <xf numFmtId="0" fontId="35" fillId="0" borderId="0" xfId="0" applyFont="1" applyAlignment="1">
      <alignment horizontal="left" vertical="top"/>
    </xf>
    <xf numFmtId="0" fontId="41" fillId="0" borderId="11" xfId="0" applyFont="1" applyBorder="1" applyAlignment="1">
      <alignment horizontal="left" vertical="top"/>
    </xf>
    <xf numFmtId="0" fontId="37" fillId="0" borderId="0" xfId="0" applyFont="1"/>
    <xf numFmtId="0" fontId="0" fillId="0" borderId="26" xfId="0" applyBorder="1"/>
    <xf numFmtId="0" fontId="37" fillId="0" borderId="26" xfId="0" applyFont="1" applyBorder="1" applyAlignment="1">
      <alignment horizontal="left" vertical="top"/>
    </xf>
    <xf numFmtId="0" fontId="29" fillId="0" borderId="26" xfId="0" applyFont="1" applyBorder="1" applyAlignment="1">
      <alignment horizontal="left" vertical="top"/>
    </xf>
    <xf numFmtId="169" fontId="16" fillId="0" borderId="26" xfId="0" applyNumberFormat="1" applyFont="1" applyBorder="1" applyAlignment="1">
      <alignment horizontal="left" vertical="top"/>
    </xf>
    <xf numFmtId="168" fontId="16" fillId="0" borderId="26" xfId="0" applyNumberFormat="1" applyFont="1" applyBorder="1" applyAlignment="1">
      <alignment horizontal="left" vertical="top"/>
    </xf>
    <xf numFmtId="0" fontId="0" fillId="0" borderId="26" xfId="0" applyBorder="1" applyAlignment="1">
      <alignment horizontal="left" vertical="top"/>
    </xf>
    <xf numFmtId="0" fontId="17" fillId="0" borderId="26" xfId="0" applyFont="1" applyBorder="1" applyAlignment="1">
      <alignment horizontal="left" vertical="top"/>
    </xf>
    <xf numFmtId="9" fontId="11" fillId="0" borderId="20" xfId="0" applyNumberFormat="1" applyFont="1" applyBorder="1"/>
    <xf numFmtId="171" fontId="22" fillId="0" borderId="0" xfId="1" applyNumberFormat="1" applyFont="1" applyBorder="1"/>
    <xf numFmtId="9" fontId="11" fillId="0" borderId="0" xfId="194" applyFont="1" applyBorder="1"/>
    <xf numFmtId="9" fontId="11" fillId="0" borderId="20" xfId="194" applyFont="1" applyBorder="1"/>
    <xf numFmtId="165" fontId="35" fillId="0" borderId="0" xfId="493" applyFont="1" applyBorder="1"/>
    <xf numFmtId="0" fontId="5" fillId="0" borderId="15" xfId="0" applyFont="1" applyFill="1" applyBorder="1" applyAlignment="1">
      <alignment wrapText="1"/>
    </xf>
    <xf numFmtId="0" fontId="22" fillId="0" borderId="11" xfId="0" applyFont="1" applyFill="1" applyBorder="1" applyAlignment="1">
      <alignment horizontal="left" wrapText="1"/>
    </xf>
    <xf numFmtId="0" fontId="5" fillId="0" borderId="11" xfId="0" applyFont="1" applyFill="1" applyBorder="1" applyAlignment="1">
      <alignment horizontal="left" wrapText="1"/>
    </xf>
    <xf numFmtId="0" fontId="5" fillId="0" borderId="11" xfId="0" applyFont="1" applyFill="1" applyBorder="1" applyAlignment="1">
      <alignment horizontal="left" vertical="top" wrapText="1"/>
    </xf>
    <xf numFmtId="0" fontId="22" fillId="0" borderId="14" xfId="0" applyFont="1" applyFill="1" applyBorder="1" applyAlignment="1">
      <alignment wrapText="1"/>
    </xf>
    <xf numFmtId="0" fontId="22" fillId="0" borderId="13" xfId="0" applyFont="1" applyFill="1" applyBorder="1" applyAlignment="1">
      <alignment wrapText="1"/>
    </xf>
    <xf numFmtId="4" fontId="5" fillId="0" borderId="11" xfId="0" applyNumberFormat="1" applyFont="1" applyFill="1" applyBorder="1" applyAlignment="1">
      <alignment horizontal="left" wrapText="1"/>
    </xf>
    <xf numFmtId="0" fontId="45" fillId="0" borderId="11" xfId="257" applyFont="1" applyFill="1" applyBorder="1" applyAlignment="1">
      <alignment horizontal="left" vertical="top" wrapText="1"/>
    </xf>
    <xf numFmtId="0" fontId="5" fillId="0" borderId="13" xfId="0" applyFont="1" applyFill="1" applyBorder="1" applyAlignment="1">
      <alignment horizontal="left" wrapText="1"/>
    </xf>
    <xf numFmtId="168" fontId="5" fillId="0" borderId="11" xfId="1" applyNumberFormat="1" applyFont="1" applyFill="1" applyBorder="1" applyAlignment="1">
      <alignment horizontal="left" vertical="top" wrapText="1"/>
    </xf>
    <xf numFmtId="0" fontId="5" fillId="0" borderId="0" xfId="0" applyFont="1" applyFill="1" applyBorder="1" applyAlignment="1">
      <alignment horizontal="left" wrapText="1"/>
    </xf>
    <xf numFmtId="0" fontId="45" fillId="0" borderId="12" xfId="257" applyFont="1" applyFill="1" applyBorder="1" applyAlignment="1">
      <alignment horizontal="left" vertical="top" wrapText="1"/>
    </xf>
    <xf numFmtId="0" fontId="45" fillId="0" borderId="11" xfId="257" applyFont="1" applyFill="1" applyBorder="1" applyAlignment="1">
      <alignment horizontal="left" wrapText="1"/>
    </xf>
    <xf numFmtId="0" fontId="24" fillId="0" borderId="11" xfId="0" applyFont="1" applyFill="1" applyBorder="1" applyAlignment="1">
      <alignment horizontal="left" wrapText="1"/>
    </xf>
    <xf numFmtId="0" fontId="5" fillId="0" borderId="18" xfId="0" applyFont="1" applyFill="1" applyBorder="1" applyAlignment="1">
      <alignment wrapText="1"/>
    </xf>
    <xf numFmtId="0" fontId="5" fillId="0" borderId="12" xfId="0" applyFont="1" applyFill="1" applyBorder="1" applyAlignment="1">
      <alignment wrapText="1"/>
    </xf>
    <xf numFmtId="0" fontId="45" fillId="0" borderId="12" xfId="257" applyFont="1" applyFill="1" applyBorder="1" applyAlignment="1">
      <alignment wrapText="1"/>
    </xf>
    <xf numFmtId="0" fontId="5" fillId="0" borderId="12" xfId="0" applyFont="1" applyFill="1" applyBorder="1" applyAlignment="1">
      <alignment horizontal="left" vertical="center" wrapText="1"/>
    </xf>
    <xf numFmtId="0" fontId="24" fillId="0" borderId="12" xfId="0" applyFont="1" applyFill="1" applyBorder="1" applyAlignment="1">
      <alignment wrapText="1"/>
    </xf>
    <xf numFmtId="0" fontId="24" fillId="0" borderId="12" xfId="0" applyFont="1" applyBorder="1" applyAlignment="1">
      <alignment wrapText="1"/>
    </xf>
    <xf numFmtId="0" fontId="22" fillId="0" borderId="16" xfId="0" applyFont="1" applyFill="1" applyBorder="1" applyAlignment="1">
      <alignment wrapText="1"/>
    </xf>
    <xf numFmtId="0" fontId="5" fillId="0" borderId="12" xfId="0" applyFont="1" applyFill="1" applyBorder="1" applyAlignment="1">
      <alignment horizontal="left" vertical="top" wrapText="1"/>
    </xf>
    <xf numFmtId="0" fontId="45" fillId="0" borderId="12" xfId="257" applyFont="1" applyFill="1" applyBorder="1" applyAlignment="1">
      <alignment horizontal="left" wrapText="1"/>
    </xf>
    <xf numFmtId="0" fontId="5" fillId="0" borderId="12" xfId="0" applyFont="1" applyFill="1" applyBorder="1" applyAlignment="1">
      <alignment horizontal="left" wrapText="1"/>
    </xf>
    <xf numFmtId="0" fontId="24" fillId="0" borderId="11" xfId="0" applyFont="1" applyFill="1" applyBorder="1" applyAlignment="1">
      <alignment wrapText="1"/>
    </xf>
    <xf numFmtId="0" fontId="5" fillId="0" borderId="12" xfId="0" applyFont="1" applyBorder="1" applyAlignment="1">
      <alignment horizontal="left" wrapText="1"/>
    </xf>
    <xf numFmtId="4" fontId="46" fillId="0" borderId="0" xfId="0" applyNumberFormat="1" applyFont="1"/>
    <xf numFmtId="0" fontId="47" fillId="0" borderId="0" xfId="0" applyFont="1" applyFill="1" applyBorder="1"/>
    <xf numFmtId="0" fontId="5" fillId="0" borderId="12" xfId="0" applyFont="1" applyBorder="1" applyAlignment="1">
      <alignment wrapText="1"/>
    </xf>
    <xf numFmtId="0" fontId="5" fillId="0" borderId="0" xfId="0" applyFont="1" applyBorder="1" applyAlignment="1">
      <alignment wrapText="1"/>
    </xf>
    <xf numFmtId="0" fontId="46" fillId="0" borderId="0" xfId="0" applyFont="1" applyFill="1" applyBorder="1" applyAlignment="1">
      <alignment horizontal="left" wrapText="1"/>
    </xf>
    <xf numFmtId="0" fontId="46"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171" fontId="48" fillId="0" borderId="11" xfId="1" applyNumberFormat="1" applyFont="1" applyFill="1" applyBorder="1" applyAlignment="1">
      <alignment horizontal="left" wrapText="1"/>
    </xf>
    <xf numFmtId="0" fontId="48" fillId="0" borderId="11" xfId="0" applyFont="1" applyFill="1" applyBorder="1" applyAlignment="1">
      <alignment horizontal="left" wrapText="1"/>
    </xf>
    <xf numFmtId="9" fontId="48" fillId="0" borderId="11" xfId="194" applyFont="1" applyFill="1" applyBorder="1" applyAlignment="1">
      <alignment horizontal="left" wrapText="1"/>
    </xf>
    <xf numFmtId="3" fontId="48" fillId="0" borderId="11" xfId="0" applyNumberFormat="1" applyFont="1" applyFill="1" applyBorder="1" applyAlignment="1">
      <alignment horizontal="left" wrapText="1"/>
    </xf>
    <xf numFmtId="174" fontId="48" fillId="0" borderId="11" xfId="0" applyNumberFormat="1" applyFont="1" applyFill="1" applyBorder="1" applyAlignment="1">
      <alignment horizontal="left" wrapText="1"/>
    </xf>
    <xf numFmtId="4" fontId="48" fillId="0" borderId="11" xfId="0" applyNumberFormat="1" applyFont="1" applyFill="1" applyBorder="1" applyAlignment="1">
      <alignment horizontal="left" wrapText="1"/>
    </xf>
    <xf numFmtId="9" fontId="48" fillId="0" borderId="18" xfId="194" applyFont="1" applyFill="1" applyBorder="1" applyAlignment="1">
      <alignment horizontal="left" wrapText="1"/>
    </xf>
    <xf numFmtId="9" fontId="48" fillId="0" borderId="11" xfId="0" applyNumberFormat="1" applyFont="1" applyFill="1" applyBorder="1" applyAlignment="1">
      <alignment horizontal="left" wrapText="1"/>
    </xf>
    <xf numFmtId="0" fontId="5" fillId="0" borderId="0" xfId="0" applyFont="1" applyBorder="1"/>
    <xf numFmtId="0" fontId="5" fillId="0" borderId="23" xfId="0" applyFont="1" applyBorder="1" applyAlignment="1">
      <alignment horizontal="left" wrapText="1"/>
    </xf>
    <xf numFmtId="4" fontId="5" fillId="0" borderId="23" xfId="0" applyNumberFormat="1" applyFont="1" applyFill="1" applyBorder="1" applyAlignment="1">
      <alignment horizontal="left" wrapText="1"/>
    </xf>
    <xf numFmtId="168" fontId="5" fillId="0" borderId="11" xfId="1" applyNumberFormat="1" applyFont="1" applyFill="1" applyBorder="1" applyAlignment="1">
      <alignment horizontal="left" wrapText="1"/>
    </xf>
    <xf numFmtId="168" fontId="5" fillId="0" borderId="18" xfId="1" applyNumberFormat="1" applyFont="1" applyFill="1" applyBorder="1" applyAlignment="1">
      <alignment horizontal="left" wrapText="1"/>
    </xf>
    <xf numFmtId="0" fontId="5" fillId="0" borderId="18" xfId="0" applyFont="1" applyBorder="1" applyAlignment="1">
      <alignment horizontal="left" wrapText="1"/>
    </xf>
    <xf numFmtId="169" fontId="5" fillId="0" borderId="11" xfId="1" applyNumberFormat="1" applyFont="1" applyFill="1" applyBorder="1" applyAlignment="1">
      <alignment horizontal="left" wrapText="1"/>
    </xf>
    <xf numFmtId="0" fontId="5" fillId="0" borderId="11" xfId="0" applyFont="1" applyBorder="1" applyAlignment="1">
      <alignment horizontal="left" vertical="top" wrapText="1"/>
    </xf>
    <xf numFmtId="169" fontId="5" fillId="0" borderId="11"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46" fillId="0" borderId="0" xfId="0" applyFont="1" applyAlignment="1">
      <alignment horizontal="left" vertical="top" wrapText="1"/>
    </xf>
    <xf numFmtId="169" fontId="48" fillId="5" borderId="11" xfId="0" applyNumberFormat="1" applyFont="1" applyFill="1" applyBorder="1" applyAlignment="1">
      <alignment horizontal="left" vertical="top" wrapText="1"/>
    </xf>
    <xf numFmtId="169" fontId="5" fillId="0" borderId="11" xfId="0" applyNumberFormat="1" applyFont="1" applyBorder="1" applyAlignment="1">
      <alignment horizontal="left" vertical="top" wrapText="1"/>
    </xf>
    <xf numFmtId="0" fontId="5" fillId="0" borderId="13" xfId="0" applyFont="1" applyBorder="1" applyAlignment="1">
      <alignment horizontal="left" vertical="top" wrapText="1"/>
    </xf>
    <xf numFmtId="0" fontId="5" fillId="0" borderId="13" xfId="0" applyFont="1" applyBorder="1" applyAlignment="1">
      <alignment horizontal="left" wrapText="1"/>
    </xf>
    <xf numFmtId="0" fontId="5" fillId="0" borderId="14" xfId="0" applyFont="1" applyBorder="1" applyAlignment="1">
      <alignment horizontal="left" wrapText="1"/>
    </xf>
    <xf numFmtId="4" fontId="5" fillId="0" borderId="0" xfId="0" applyNumberFormat="1" applyFont="1" applyAlignment="1">
      <alignment horizontal="left" vertical="top" wrapText="1"/>
    </xf>
    <xf numFmtId="4" fontId="5" fillId="0" borderId="0" xfId="0" applyNumberFormat="1" applyFont="1" applyAlignment="1">
      <alignment horizontal="left" wrapText="1"/>
    </xf>
    <xf numFmtId="4" fontId="5" fillId="0" borderId="0" xfId="0" applyNumberFormat="1" applyFont="1" applyAlignment="1">
      <alignment wrapText="1"/>
    </xf>
    <xf numFmtId="4" fontId="5" fillId="0" borderId="0" xfId="0" applyNumberFormat="1" applyFont="1"/>
    <xf numFmtId="0" fontId="27" fillId="0" borderId="12" xfId="257" applyFill="1" applyBorder="1" applyAlignment="1">
      <alignment wrapText="1"/>
    </xf>
    <xf numFmtId="0" fontId="5" fillId="11" borderId="11" xfId="0" applyFont="1" applyFill="1" applyBorder="1" applyAlignment="1">
      <alignment horizontal="left" vertical="top" wrapText="1"/>
    </xf>
    <xf numFmtId="0" fontId="5" fillId="0" borderId="0" xfId="0" applyFont="1" applyFill="1"/>
    <xf numFmtId="0" fontId="5" fillId="0" borderId="0" xfId="0" applyFont="1" applyFill="1" applyBorder="1" applyAlignment="1">
      <alignment horizontal="left" vertical="top" wrapText="1"/>
    </xf>
    <xf numFmtId="0" fontId="5" fillId="0" borderId="0" xfId="0" applyFont="1" applyFill="1" applyAlignment="1">
      <alignment horizontal="left" wrapText="1"/>
    </xf>
    <xf numFmtId="0" fontId="5" fillId="0" borderId="0" xfId="0" applyFont="1" applyFill="1" applyAlignment="1">
      <alignment horizontal="left"/>
    </xf>
    <xf numFmtId="0" fontId="24" fillId="0" borderId="0" xfId="0" applyFont="1" applyAlignment="1">
      <alignment wrapText="1"/>
    </xf>
    <xf numFmtId="0" fontId="5" fillId="11" borderId="12" xfId="0" applyFont="1" applyFill="1" applyBorder="1" applyAlignment="1">
      <alignment horizontal="left" vertical="top" wrapText="1"/>
    </xf>
    <xf numFmtId="0" fontId="4" fillId="0" borderId="0" xfId="0" applyFont="1" applyAlignment="1">
      <alignment horizontal="left" vertical="top"/>
    </xf>
    <xf numFmtId="0" fontId="4" fillId="0" borderId="11" xfId="0" applyFont="1" applyFill="1" applyBorder="1" applyAlignment="1">
      <alignment horizontal="left" vertical="top" wrapText="1"/>
    </xf>
    <xf numFmtId="0" fontId="4" fillId="0" borderId="11" xfId="0" applyFont="1" applyFill="1" applyBorder="1" applyAlignment="1">
      <alignment horizontal="left" wrapText="1"/>
    </xf>
    <xf numFmtId="0" fontId="35" fillId="0" borderId="18" xfId="0" applyFont="1" applyFill="1" applyBorder="1" applyAlignment="1">
      <alignment horizontal="left" indent="1"/>
    </xf>
    <xf numFmtId="171" fontId="11" fillId="0" borderId="0" xfId="1" applyNumberFormat="1" applyFont="1" applyBorder="1" applyAlignment="1">
      <alignment vertical="center"/>
    </xf>
    <xf numFmtId="0" fontId="15" fillId="0" borderId="12" xfId="0" applyFont="1" applyBorder="1" applyAlignment="1">
      <alignment horizontal="left" vertical="center" wrapText="1"/>
    </xf>
    <xf numFmtId="0" fontId="11" fillId="0" borderId="12" xfId="0" applyFont="1" applyBorder="1" applyAlignment="1">
      <alignment horizontal="left" vertical="center" wrapText="1"/>
    </xf>
    <xf numFmtId="171" fontId="35" fillId="0" borderId="0" xfId="1" applyNumberFormat="1" applyFont="1" applyBorder="1" applyAlignment="1">
      <alignment vertical="center"/>
    </xf>
    <xf numFmtId="0" fontId="35" fillId="0" borderId="12" xfId="0" applyFont="1" applyBorder="1" applyAlignment="1">
      <alignment horizontal="left" vertical="center" wrapText="1"/>
    </xf>
    <xf numFmtId="0" fontId="11" fillId="0" borderId="0" xfId="0" applyFont="1" applyBorder="1" applyAlignment="1">
      <alignment vertical="center"/>
    </xf>
    <xf numFmtId="0" fontId="4" fillId="0" borderId="12" xfId="0" applyFont="1" applyBorder="1" applyAlignment="1">
      <alignment vertical="center"/>
    </xf>
    <xf numFmtId="0" fontId="29" fillId="0" borderId="11" xfId="0" applyFont="1" applyBorder="1" applyAlignment="1">
      <alignment horizontal="right"/>
    </xf>
    <xf numFmtId="171" fontId="29" fillId="0" borderId="11" xfId="1" applyNumberFormat="1" applyFont="1" applyBorder="1" applyAlignment="1">
      <alignment horizontal="right" vertical="center"/>
    </xf>
    <xf numFmtId="171" fontId="41" fillId="0" borderId="11" xfId="1" applyNumberFormat="1" applyFont="1" applyBorder="1" applyAlignment="1">
      <alignment horizontal="right" vertical="center"/>
    </xf>
    <xf numFmtId="0" fontId="29" fillId="0" borderId="11" xfId="0" applyFont="1" applyBorder="1" applyAlignment="1">
      <alignment horizontal="right" vertical="center"/>
    </xf>
    <xf numFmtId="0" fontId="34" fillId="0" borderId="15" xfId="0" applyFont="1" applyBorder="1" applyAlignment="1">
      <alignment horizontal="right"/>
    </xf>
    <xf numFmtId="169" fontId="35" fillId="0" borderId="11" xfId="1" applyNumberFormat="1" applyFont="1" applyFill="1" applyBorder="1" applyAlignment="1">
      <alignment horizontal="left" vertical="top" wrapText="1"/>
    </xf>
    <xf numFmtId="0" fontId="3" fillId="0" borderId="0" xfId="0" applyFont="1" applyAlignment="1">
      <alignment horizontal="left" vertical="top"/>
    </xf>
    <xf numFmtId="3" fontId="35" fillId="0" borderId="12" xfId="0" applyNumberFormat="1" applyFont="1" applyFill="1" applyBorder="1"/>
    <xf numFmtId="3" fontId="35" fillId="2" borderId="18" xfId="0" applyNumberFormat="1" applyFont="1" applyFill="1" applyBorder="1"/>
    <xf numFmtId="0" fontId="41" fillId="0" borderId="12" xfId="0" applyFont="1" applyBorder="1" applyAlignment="1">
      <alignment horizontal="left" vertical="top"/>
    </xf>
    <xf numFmtId="0" fontId="3" fillId="0" borderId="0" xfId="0" applyFont="1"/>
    <xf numFmtId="171" fontId="35" fillId="0" borderId="20" xfId="1" applyNumberFormat="1" applyFont="1" applyBorder="1" applyAlignment="1">
      <alignment vertical="center"/>
    </xf>
    <xf numFmtId="0" fontId="35" fillId="0" borderId="14" xfId="0" applyFont="1" applyBorder="1" applyAlignment="1">
      <alignment horizontal="left" vertical="center" wrapText="1"/>
    </xf>
    <xf numFmtId="171" fontId="41" fillId="0" borderId="13" xfId="1" applyNumberFormat="1" applyFont="1" applyBorder="1" applyAlignment="1">
      <alignment horizontal="right" vertical="center"/>
    </xf>
    <xf numFmtId="0" fontId="3" fillId="0" borderId="18" xfId="0" applyFont="1" applyFill="1" applyBorder="1" applyAlignment="1">
      <alignment horizontal="left" indent="1"/>
    </xf>
    <xf numFmtId="0" fontId="3" fillId="0" borderId="18" xfId="0" applyFont="1" applyBorder="1" applyAlignment="1">
      <alignment horizontal="left" indent="1"/>
    </xf>
    <xf numFmtId="170" fontId="0" fillId="0" borderId="0" xfId="0" applyNumberFormat="1"/>
    <xf numFmtId="4" fontId="24" fillId="0" borderId="0" xfId="0" applyNumberFormat="1" applyFont="1" applyBorder="1"/>
    <xf numFmtId="0" fontId="2" fillId="0" borderId="0" xfId="0" applyFont="1"/>
    <xf numFmtId="0" fontId="2" fillId="0" borderId="11" xfId="0" applyFont="1" applyFill="1" applyBorder="1" applyAlignment="1">
      <alignment horizontal="left" vertical="top" wrapText="1"/>
    </xf>
    <xf numFmtId="0" fontId="29" fillId="0" borderId="0" xfId="0" applyFont="1" applyAlignment="1">
      <alignment vertical="top" wrapText="1"/>
    </xf>
    <xf numFmtId="170" fontId="29" fillId="0" borderId="0" xfId="0" applyNumberFormat="1" applyFont="1" applyAlignment="1">
      <alignment vertical="top" wrapText="1"/>
    </xf>
    <xf numFmtId="0" fontId="49" fillId="0" borderId="0" xfId="0" applyFont="1"/>
    <xf numFmtId="166" fontId="35" fillId="0" borderId="11" xfId="1" applyFont="1" applyFill="1" applyBorder="1" applyAlignment="1">
      <alignment horizontal="left" wrapText="1"/>
    </xf>
    <xf numFmtId="0" fontId="35" fillId="0" borderId="11" xfId="0" applyFont="1" applyFill="1" applyBorder="1" applyAlignment="1">
      <alignment horizontal="left" wrapText="1"/>
    </xf>
    <xf numFmtId="9" fontId="35" fillId="0" borderId="11" xfId="194" applyFont="1" applyFill="1" applyBorder="1" applyAlignment="1">
      <alignment horizontal="left" wrapText="1"/>
    </xf>
    <xf numFmtId="171" fontId="35" fillId="0" borderId="11" xfId="1" applyNumberFormat="1" applyFont="1" applyFill="1" applyBorder="1" applyAlignment="1">
      <alignment horizontal="left" wrapText="1"/>
    </xf>
    <xf numFmtId="9" fontId="35" fillId="0" borderId="11" xfId="0" applyNumberFormat="1" applyFont="1" applyFill="1" applyBorder="1" applyAlignment="1">
      <alignment horizontal="left" wrapText="1"/>
    </xf>
    <xf numFmtId="0" fontId="50" fillId="0" borderId="0" xfId="0" applyFont="1"/>
    <xf numFmtId="0" fontId="33" fillId="0" borderId="15" xfId="0" applyFont="1" applyBorder="1" applyAlignment="1">
      <alignment wrapText="1"/>
    </xf>
    <xf numFmtId="0" fontId="33" fillId="0" borderId="11" xfId="0" applyFont="1" applyBorder="1" applyAlignment="1">
      <alignment wrapText="1"/>
    </xf>
    <xf numFmtId="0" fontId="35" fillId="0" borderId="11" xfId="0" applyFont="1" applyFill="1" applyBorder="1" applyAlignment="1">
      <alignment wrapText="1"/>
    </xf>
    <xf numFmtId="0" fontId="35" fillId="0" borderId="11" xfId="0" applyFont="1" applyFill="1" applyBorder="1" applyAlignment="1">
      <alignment horizontal="left" wrapText="1" indent="2"/>
    </xf>
    <xf numFmtId="0" fontId="35" fillId="0" borderId="23" xfId="0" applyFont="1" applyBorder="1" applyAlignment="1">
      <alignment wrapText="1"/>
    </xf>
    <xf numFmtId="0" fontId="35" fillId="0" borderId="11" xfId="0" applyFont="1" applyBorder="1" applyAlignment="1">
      <alignment wrapText="1"/>
    </xf>
    <xf numFmtId="0" fontId="35" fillId="0" borderId="11" xfId="0" applyFont="1" applyBorder="1" applyAlignment="1">
      <alignment horizontal="left" vertical="top" wrapText="1" indent="1"/>
    </xf>
    <xf numFmtId="0" fontId="35" fillId="0" borderId="11" xfId="0" applyFont="1" applyFill="1" applyBorder="1" applyAlignment="1">
      <alignment horizontal="left" vertical="top" wrapText="1" indent="1"/>
    </xf>
    <xf numFmtId="0" fontId="35" fillId="0" borderId="11" xfId="0" applyFont="1" applyBorder="1" applyAlignment="1">
      <alignment horizontal="left" vertical="top" wrapText="1"/>
    </xf>
    <xf numFmtId="0" fontId="33" fillId="0" borderId="11" xfId="0" applyFont="1" applyFill="1" applyBorder="1" applyAlignment="1">
      <alignment horizontal="left" vertical="top" wrapText="1"/>
    </xf>
    <xf numFmtId="0" fontId="33" fillId="0" borderId="11" xfId="0" applyFont="1" applyBorder="1" applyAlignment="1">
      <alignment horizontal="left" vertical="top" wrapText="1"/>
    </xf>
    <xf numFmtId="0" fontId="33" fillId="0" borderId="11" xfId="0" applyFont="1" applyBorder="1" applyAlignment="1">
      <alignment horizontal="left" wrapText="1"/>
    </xf>
    <xf numFmtId="0" fontId="35" fillId="0" borderId="13" xfId="0" applyFont="1" applyBorder="1" applyAlignment="1">
      <alignment wrapText="1"/>
    </xf>
    <xf numFmtId="166" fontId="33" fillId="0" borderId="11" xfId="1" applyFont="1" applyFill="1" applyBorder="1" applyAlignment="1">
      <alignment horizontal="left" wrapText="1"/>
    </xf>
    <xf numFmtId="173" fontId="35" fillId="0" borderId="11" xfId="1" applyNumberFormat="1" applyFont="1" applyFill="1" applyBorder="1" applyAlignment="1">
      <alignment horizontal="left" wrapText="1"/>
    </xf>
    <xf numFmtId="0" fontId="33" fillId="0" borderId="9" xfId="0" applyFont="1" applyBorder="1" applyAlignment="1">
      <alignment wrapText="1"/>
    </xf>
    <xf numFmtId="4" fontId="22" fillId="0" borderId="9" xfId="0" applyNumberFormat="1" applyFont="1" applyBorder="1" applyAlignment="1">
      <alignment wrapText="1"/>
    </xf>
    <xf numFmtId="0" fontId="24" fillId="9" borderId="11" xfId="0" applyFont="1" applyFill="1" applyBorder="1"/>
    <xf numFmtId="0" fontId="24" fillId="0" borderId="21" xfId="0" applyFont="1" applyFill="1" applyBorder="1"/>
    <xf numFmtId="169" fontId="5" fillId="5" borderId="11" xfId="1" applyNumberFormat="1" applyFont="1" applyFill="1" applyBorder="1" applyAlignment="1">
      <alignment horizontal="left" vertical="top"/>
    </xf>
    <xf numFmtId="168" fontId="5" fillId="0" borderId="13" xfId="1" applyNumberFormat="1" applyFont="1" applyFill="1" applyBorder="1" applyAlignment="1">
      <alignment horizontal="left" vertical="top" wrapText="1"/>
    </xf>
    <xf numFmtId="0" fontId="24" fillId="0" borderId="11" xfId="0" applyFont="1" applyBorder="1" applyAlignment="1">
      <alignment vertical="top" wrapText="1"/>
    </xf>
    <xf numFmtId="166" fontId="33" fillId="0" borderId="0" xfId="1" applyFont="1"/>
    <xf numFmtId="169" fontId="33" fillId="0" borderId="0" xfId="1" applyNumberFormat="1" applyFont="1"/>
    <xf numFmtId="169" fontId="41" fillId="0" borderId="0" xfId="0" applyNumberFormat="1" applyFont="1"/>
    <xf numFmtId="169" fontId="33" fillId="0" borderId="0" xfId="0" applyNumberFormat="1" applyFont="1"/>
    <xf numFmtId="169" fontId="35" fillId="0" borderId="0" xfId="0" applyNumberFormat="1" applyFont="1"/>
    <xf numFmtId="0" fontId="35" fillId="0" borderId="0" xfId="0" applyFont="1" applyAlignment="1">
      <alignment horizontal="left" indent="1"/>
    </xf>
    <xf numFmtId="169" fontId="35" fillId="0" borderId="0" xfId="1" applyNumberFormat="1" applyFont="1"/>
    <xf numFmtId="0" fontId="33" fillId="0" borderId="24" xfId="0" applyFont="1" applyBorder="1"/>
    <xf numFmtId="169" fontId="33" fillId="0" borderId="24" xfId="0" applyNumberFormat="1" applyFont="1" applyBorder="1"/>
    <xf numFmtId="0" fontId="33" fillId="0" borderId="0" xfId="0" applyFont="1" applyBorder="1"/>
    <xf numFmtId="169" fontId="33" fillId="0" borderId="0" xfId="0" applyNumberFormat="1" applyFont="1" applyBorder="1"/>
    <xf numFmtId="169" fontId="41" fillId="0" borderId="0" xfId="0" applyNumberFormat="1" applyFont="1" applyBorder="1"/>
    <xf numFmtId="169" fontId="35" fillId="0" borderId="0" xfId="0" applyNumberFormat="1" applyFont="1" applyBorder="1"/>
    <xf numFmtId="169" fontId="33" fillId="0" borderId="0" xfId="1" applyNumberFormat="1" applyFont="1" applyBorder="1"/>
    <xf numFmtId="169" fontId="35" fillId="0" borderId="0" xfId="0" applyNumberFormat="1" applyFont="1" applyBorder="1" applyAlignment="1">
      <alignment wrapText="1"/>
    </xf>
    <xf numFmtId="169" fontId="51" fillId="0" borderId="0" xfId="0" applyNumberFormat="1" applyFont="1" applyBorder="1"/>
    <xf numFmtId="0" fontId="35" fillId="0" borderId="0" xfId="0" applyFont="1" applyFill="1" applyAlignment="1">
      <alignment horizontal="left" indent="1"/>
    </xf>
    <xf numFmtId="169" fontId="35" fillId="0" borderId="0" xfId="0" applyNumberFormat="1" applyFont="1" applyFill="1"/>
    <xf numFmtId="0" fontId="33" fillId="0" borderId="24" xfId="0" applyFont="1" applyFill="1" applyBorder="1"/>
    <xf numFmtId="169" fontId="33" fillId="0" borderId="24" xfId="0" applyNumberFormat="1" applyFont="1" applyFill="1" applyBorder="1"/>
    <xf numFmtId="0" fontId="33" fillId="0" borderId="0" xfId="0" applyFont="1" applyFill="1" applyBorder="1"/>
    <xf numFmtId="169" fontId="33" fillId="0" borderId="0" xfId="0" applyNumberFormat="1" applyFont="1" applyFill="1" applyBorder="1"/>
    <xf numFmtId="169" fontId="35" fillId="0" borderId="0" xfId="0" applyNumberFormat="1" applyFont="1" applyFill="1" applyBorder="1"/>
    <xf numFmtId="166" fontId="33" fillId="0" borderId="24" xfId="0" applyNumberFormat="1" applyFont="1" applyFill="1" applyBorder="1"/>
    <xf numFmtId="0" fontId="51" fillId="0" borderId="0" xfId="0" applyFont="1"/>
    <xf numFmtId="166" fontId="35" fillId="0" borderId="0" xfId="1" applyFont="1" applyAlignment="1">
      <alignment horizontal="left" indent="1"/>
    </xf>
    <xf numFmtId="166" fontId="33" fillId="0" borderId="24" xfId="1" applyFont="1" applyBorder="1"/>
    <xf numFmtId="166" fontId="33" fillId="0" borderId="0" xfId="1" applyFont="1" applyBorder="1"/>
    <xf numFmtId="166" fontId="35" fillId="0" borderId="0" xfId="1" applyFont="1" applyFill="1" applyAlignment="1">
      <alignment horizontal="left" indent="1"/>
    </xf>
    <xf numFmtId="166" fontId="33" fillId="0" borderId="0" xfId="1" applyFont="1" applyFill="1" applyBorder="1"/>
    <xf numFmtId="9" fontId="30" fillId="0" borderId="0" xfId="0" applyNumberFormat="1" applyFont="1"/>
    <xf numFmtId="0" fontId="1" fillId="0" borderId="0" xfId="0" applyFont="1" applyBorder="1" applyAlignment="1">
      <alignment horizontal="left"/>
    </xf>
    <xf numFmtId="0" fontId="1" fillId="0" borderId="0" xfId="0" applyFont="1"/>
    <xf numFmtId="9" fontId="1" fillId="3" borderId="0" xfId="0" applyNumberFormat="1" applyFont="1" applyFill="1"/>
    <xf numFmtId="3" fontId="1" fillId="0" borderId="0" xfId="0" applyNumberFormat="1" applyFont="1"/>
    <xf numFmtId="0" fontId="1" fillId="0" borderId="0" xfId="0" applyFont="1" applyAlignment="1">
      <alignment horizontal="left" vertical="top"/>
    </xf>
    <xf numFmtId="0" fontId="1" fillId="0" borderId="0" xfId="0" applyFont="1" applyAlignment="1">
      <alignment horizontal="justify" vertical="center"/>
    </xf>
    <xf numFmtId="0" fontId="26" fillId="0" borderId="0" xfId="0" applyFont="1" applyAlignment="1">
      <alignment horizontal="justify" vertical="center"/>
    </xf>
    <xf numFmtId="0" fontId="26" fillId="0" borderId="0" xfId="0" applyFont="1" applyAlignment="1">
      <alignment vertical="center"/>
    </xf>
    <xf numFmtId="0" fontId="29" fillId="0" borderId="0" xfId="0" applyFont="1" applyAlignment="1">
      <alignment horizontal="justify" vertical="center"/>
    </xf>
    <xf numFmtId="0" fontId="23" fillId="0" borderId="0" xfId="0" applyFont="1" applyAlignment="1">
      <alignment horizontal="justify" vertical="center"/>
    </xf>
    <xf numFmtId="0" fontId="1" fillId="0" borderId="0" xfId="0" applyFont="1" applyAlignment="1">
      <alignment horizontal="left" vertical="center" wrapText="1" indent="1"/>
    </xf>
    <xf numFmtId="0" fontId="22" fillId="0" borderId="0" xfId="0" applyFont="1" applyAlignment="1">
      <alignment horizontal="left" vertical="center" wrapText="1" indent="1"/>
    </xf>
    <xf numFmtId="0" fontId="1" fillId="0" borderId="0" xfId="0" applyFont="1" applyAlignment="1">
      <alignment horizontal="justify" vertical="top"/>
    </xf>
    <xf numFmtId="0" fontId="24" fillId="0" borderId="0" xfId="0" applyFont="1" applyAlignment="1">
      <alignment horizontal="justify" vertical="center"/>
    </xf>
    <xf numFmtId="9" fontId="13" fillId="3" borderId="15" xfId="0" applyNumberFormat="1" applyFont="1" applyFill="1" applyBorder="1"/>
    <xf numFmtId="9" fontId="13" fillId="3" borderId="21" xfId="0" applyNumberFormat="1" applyFont="1" applyFill="1" applyBorder="1"/>
    <xf numFmtId="9" fontId="12" fillId="3" borderId="11" xfId="0" applyNumberFormat="1" applyFont="1" applyFill="1" applyBorder="1"/>
    <xf numFmtId="9" fontId="12" fillId="3" borderId="0" xfId="0" applyNumberFormat="1" applyFont="1" applyFill="1" applyBorder="1"/>
    <xf numFmtId="9" fontId="1" fillId="3" borderId="0" xfId="0" applyNumberFormat="1" applyFont="1" applyFill="1" applyAlignment="1">
      <alignment horizontal="right"/>
    </xf>
    <xf numFmtId="0" fontId="39" fillId="0" borderId="0" xfId="0" applyFont="1"/>
    <xf numFmtId="0" fontId="1" fillId="0" borderId="0" xfId="0" applyFont="1" applyAlignment="1">
      <alignment wrapText="1"/>
    </xf>
    <xf numFmtId="0" fontId="1" fillId="0" borderId="0" xfId="0" applyFont="1" applyBorder="1" applyAlignment="1">
      <alignment horizontal="left" wrapText="1"/>
    </xf>
    <xf numFmtId="0" fontId="22" fillId="0" borderId="22" xfId="0" applyFont="1" applyFill="1" applyBorder="1" applyAlignment="1">
      <alignment horizontal="center"/>
    </xf>
    <xf numFmtId="0" fontId="22" fillId="0" borderId="10" xfId="0" applyFont="1" applyFill="1" applyBorder="1" applyAlignment="1">
      <alignment horizontal="center"/>
    </xf>
    <xf numFmtId="0" fontId="22" fillId="0" borderId="22"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9" fillId="0" borderId="0" xfId="0" applyFont="1" applyAlignment="1">
      <alignment vertical="top" wrapText="1"/>
    </xf>
    <xf numFmtId="0" fontId="22" fillId="0" borderId="22" xfId="0" applyFont="1" applyBorder="1" applyAlignment="1">
      <alignment horizontal="left" vertical="top"/>
    </xf>
    <xf numFmtId="0" fontId="22" fillId="0" borderId="23" xfId="0" applyFont="1" applyBorder="1" applyAlignment="1">
      <alignment horizontal="left" vertical="top"/>
    </xf>
    <xf numFmtId="0" fontId="22" fillId="0" borderId="10" xfId="0" applyFont="1" applyBorder="1" applyAlignment="1">
      <alignment horizontal="left" vertical="top"/>
    </xf>
  </cellXfs>
  <cellStyles count="602">
    <cellStyle name="Comma" xfId="258" builtinId="3"/>
    <cellStyle name="Currency" xfId="1" builtinId="4"/>
    <cellStyle name="Currency [0]" xfId="493" builtinId="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cellStyle name="Normal" xfId="0" builtinId="0"/>
    <cellStyle name="Percent" xfId="194" builtinId="5"/>
  </cellStyles>
  <dxfs count="3">
    <dxf>
      <font>
        <color rgb="FF9C0006"/>
      </font>
    </dxf>
    <dxf>
      <font>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Scroll" dx="16" fmlaLink="$E$21" horiz="1" max="500" min="125" page="0" val="250"/>
</file>

<file path=xl/ctrlProps/ctrlProp2.xml><?xml version="1.0" encoding="utf-8"?>
<formControlPr xmlns="http://schemas.microsoft.com/office/spreadsheetml/2009/9/main" objectType="Scroll" dx="16" fmlaLink="$E$23" horiz="1" max="172" min="43" page="10" val="86"/>
</file>

<file path=xl/ctrlProps/ctrlProp3.xml><?xml version="1.0" encoding="utf-8"?>
<formControlPr xmlns="http://schemas.microsoft.com/office/spreadsheetml/2009/9/main" objectType="Scroll" dx="16" fmlaLink="$E$24" horiz="1" max="312" min="78" page="10" val="156"/>
</file>

<file path=xl/ctrlProps/ctrlProp4.xml><?xml version="1.0" encoding="utf-8"?>
<formControlPr xmlns="http://schemas.microsoft.com/office/spreadsheetml/2009/9/main" objectType="Scroll" dx="16" fmlaLink="$E$25" horiz="1" max="9000" min="2250" page="10" val="4500"/>
</file>

<file path=xl/ctrlProps/ctrlProp5.xml><?xml version="1.0" encoding="utf-8"?>
<formControlPr xmlns="http://schemas.microsoft.com/office/spreadsheetml/2009/9/main" objectType="Scroll" dx="16" fmlaLink="$E$27" horiz="1" max="4" min="1" page="10" val="2"/>
</file>

<file path=xl/ctrlProps/ctrlProp6.xml><?xml version="1.0" encoding="utf-8"?>
<formControlPr xmlns="http://schemas.microsoft.com/office/spreadsheetml/2009/9/main" objectType="Scroll" dx="16" fmlaLink="$E$28" horiz="1" max="16" min="4" page="10" val="8"/>
</file>

<file path=xl/ctrlProps/ctrlProp7.xml><?xml version="1.0" encoding="utf-8"?>
<formControlPr xmlns="http://schemas.microsoft.com/office/spreadsheetml/2009/9/main" objectType="Scroll" dx="16" fmlaLink="$E$20" horiz="1" max="300" min="75" page="0" val="150"/>
</file>

<file path=xl/ctrlProps/ctrlProp8.xml><?xml version="1.0" encoding="utf-8"?>
<formControlPr xmlns="http://schemas.microsoft.com/office/spreadsheetml/2009/9/main" objectType="Scroll" dx="16" fmlaLink="$E$30" horiz="1" max="100" min="25" page="10" val="50"/>
</file>

<file path=xl/ctrlProps/ctrlProp9.xml><?xml version="1.0" encoding="utf-8"?>
<formControlPr xmlns="http://schemas.microsoft.com/office/spreadsheetml/2009/9/main" objectType="Scroll" dx="16" fmlaLink="$E$31" horiz="1" max="100" min="25" page="0" val="5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20</xdr:row>
          <xdr:rowOff>28575</xdr:rowOff>
        </xdr:from>
        <xdr:to>
          <xdr:col>3</xdr:col>
          <xdr:colOff>1143000</xdr:colOff>
          <xdr:row>20</xdr:row>
          <xdr:rowOff>219075</xdr:rowOff>
        </xdr:to>
        <xdr:sp macro="" textlink="">
          <xdr:nvSpPr>
            <xdr:cNvPr id="17426" name="Scroll Bar 18" hidden="1">
              <a:extLst>
                <a:ext uri="{63B3BB69-23CF-44E3-9099-C40C66FF867C}">
                  <a14:compatExt spid="_x0000_s17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28575</xdr:rowOff>
        </xdr:from>
        <xdr:to>
          <xdr:col>3</xdr:col>
          <xdr:colOff>1143000</xdr:colOff>
          <xdr:row>22</xdr:row>
          <xdr:rowOff>219075</xdr:rowOff>
        </xdr:to>
        <xdr:sp macro="" textlink="">
          <xdr:nvSpPr>
            <xdr:cNvPr id="17428" name="Scroll Bar 20" hidden="1">
              <a:extLst>
                <a:ext uri="{63B3BB69-23CF-44E3-9099-C40C66FF867C}">
                  <a14:compatExt spid="_x0000_s1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28575</xdr:rowOff>
        </xdr:from>
        <xdr:to>
          <xdr:col>3</xdr:col>
          <xdr:colOff>1143000</xdr:colOff>
          <xdr:row>23</xdr:row>
          <xdr:rowOff>219075</xdr:rowOff>
        </xdr:to>
        <xdr:sp macro="" textlink="">
          <xdr:nvSpPr>
            <xdr:cNvPr id="17429" name="Scroll Bar 21" hidden="1">
              <a:extLst>
                <a:ext uri="{63B3BB69-23CF-44E3-9099-C40C66FF867C}">
                  <a14:compatExt spid="_x0000_s17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28575</xdr:rowOff>
        </xdr:from>
        <xdr:to>
          <xdr:col>3</xdr:col>
          <xdr:colOff>1143000</xdr:colOff>
          <xdr:row>24</xdr:row>
          <xdr:rowOff>219075</xdr:rowOff>
        </xdr:to>
        <xdr:sp macro="" textlink="">
          <xdr:nvSpPr>
            <xdr:cNvPr id="17430" name="Scroll Bar 22" hidden="1">
              <a:extLst>
                <a:ext uri="{63B3BB69-23CF-44E3-9099-C40C66FF867C}">
                  <a14:compatExt spid="_x0000_s17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28575</xdr:rowOff>
        </xdr:from>
        <xdr:to>
          <xdr:col>3</xdr:col>
          <xdr:colOff>1143000</xdr:colOff>
          <xdr:row>26</xdr:row>
          <xdr:rowOff>219075</xdr:rowOff>
        </xdr:to>
        <xdr:sp macro="" textlink="">
          <xdr:nvSpPr>
            <xdr:cNvPr id="17431" name="Scroll Bar 23" hidden="1">
              <a:extLst>
                <a:ext uri="{63B3BB69-23CF-44E3-9099-C40C66FF867C}">
                  <a14:compatExt spid="_x0000_s17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28575</xdr:rowOff>
        </xdr:from>
        <xdr:to>
          <xdr:col>3</xdr:col>
          <xdr:colOff>1143000</xdr:colOff>
          <xdr:row>27</xdr:row>
          <xdr:rowOff>219075</xdr:rowOff>
        </xdr:to>
        <xdr:sp macro="" textlink="">
          <xdr:nvSpPr>
            <xdr:cNvPr id="17432" name="Scroll Bar 24" hidden="1">
              <a:extLst>
                <a:ext uri="{63B3BB69-23CF-44E3-9099-C40C66FF867C}">
                  <a14:compatExt spid="_x0000_s17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28575</xdr:rowOff>
        </xdr:from>
        <xdr:to>
          <xdr:col>3</xdr:col>
          <xdr:colOff>1143000</xdr:colOff>
          <xdr:row>19</xdr:row>
          <xdr:rowOff>219075</xdr:rowOff>
        </xdr:to>
        <xdr:sp macro="" textlink="">
          <xdr:nvSpPr>
            <xdr:cNvPr id="17433" name="Scroll Bar 25" hidden="1">
              <a:extLst>
                <a:ext uri="{63B3BB69-23CF-44E3-9099-C40C66FF867C}">
                  <a14:compatExt spid="_x0000_s17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28575</xdr:rowOff>
        </xdr:from>
        <xdr:to>
          <xdr:col>3</xdr:col>
          <xdr:colOff>1143000</xdr:colOff>
          <xdr:row>29</xdr:row>
          <xdr:rowOff>219075</xdr:rowOff>
        </xdr:to>
        <xdr:sp macro="" textlink="">
          <xdr:nvSpPr>
            <xdr:cNvPr id="17435" name="Scroll Bar 27" hidden="1">
              <a:extLst>
                <a:ext uri="{63B3BB69-23CF-44E3-9099-C40C66FF867C}">
                  <a14:compatExt spid="_x0000_s17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28575</xdr:rowOff>
        </xdr:from>
        <xdr:to>
          <xdr:col>3</xdr:col>
          <xdr:colOff>1143000</xdr:colOff>
          <xdr:row>30</xdr:row>
          <xdr:rowOff>219075</xdr:rowOff>
        </xdr:to>
        <xdr:sp macro="" textlink="">
          <xdr:nvSpPr>
            <xdr:cNvPr id="17436" name="Scroll Bar 28" hidden="1">
              <a:extLst>
                <a:ext uri="{63B3BB69-23CF-44E3-9099-C40C66FF867C}">
                  <a14:compatExt spid="_x0000_s174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hyperlink" Target="../../../../../../../../../../../../../../../../../../../../../../../../../../../../../../../../www.google.com/url%2525252525252525252525253Fq=http:/grondstoffencursus.nl/cursus/cursus_home/oliehoudendezaden/87%2525252525252525252525252523" TargetMode="External"/><Relationship Id="rId3" Type="http://schemas.openxmlformats.org/officeDocument/2006/relationships/hyperlink" Target="http://www.fsaconsulting.net/pdfs/Case%20Study%2010%20-%20Centrifuge.pdf" TargetMode="External"/><Relationship Id="rId7" Type="http://schemas.openxmlformats.org/officeDocument/2006/relationships/hyperlink" Target="../../..:..:..:..:..:..:..:..:..:..:..:..:..:..:..:..:..:..:..:..:..:..:..:..:..:..:..:..:..:..:..:..:..:..:..:..:www.google.com:url%2525252525252525252525252525253Fq=http/:epp.eurostat.ec.europa.eu:portal:page:portal:energy:data:database" TargetMode="External"/><Relationship Id="rId2" Type="http://schemas.openxmlformats.org/officeDocument/2006/relationships/hyperlink" Target="http://www.fsaconsulting.net/pdfs/Case%20Study%2010%20-%20Centrifuge.pdf" TargetMode="External"/><Relationship Id="rId1" Type="http://schemas.openxmlformats.org/officeDocument/2006/relationships/hyperlink" Target="http://www.alfa.nl/Nieuws/Pages/Optimalisatie-teelt-eigen-ruwvoer.aspx" TargetMode="External"/><Relationship Id="rId6" Type="http://schemas.openxmlformats.org/officeDocument/2006/relationships/hyperlink" Target="../../../../../../../../../../../../../../../../../../../../../../../../../../../../../../www.google.com/url%2525252525252525252525253Fq=http:/statline.cbs.nl/StatWeb/publication/%2525252525252525252525253FDM=SLNL&amp;PA=81774ned&amp;D1=a&amp;D2=0&amp;D3=a&amp;VW=T" TargetMode="External"/><Relationship Id="rId5" Type="http://schemas.openxmlformats.org/officeDocument/2006/relationships/hyperlink" Target="http://www.fsaconsulting.net/pdfs/Case%20Study%2010%20-%20Centrifuge.pdf" TargetMode="External"/><Relationship Id="rId4" Type="http://schemas.openxmlformats.org/officeDocument/2006/relationships/hyperlink" Target="http://www.fsaconsulting.net/pdfs/Case%20Study%2010%20-%20Centrifuge.pdf" TargetMode="External"/><Relationship Id="rId9" Type="http://schemas.openxmlformats.org/officeDocument/2006/relationships/hyperlink" Target="../../..:..:..:..:..:..:..:..:..:..:..:..:..:..:..:..:..:..:..:..:..:..:..:..:..:..:..:..:..:..:..:..:..:..:..:..:www.google.com:url%2525252525252525252525252525253Fq=http/:www.bpsag.ch:pdf:Publication%20OECD.pdf"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3"/>
  <sheetViews>
    <sheetView showGridLines="0" tabSelected="1" zoomScale="110" zoomScaleNormal="110" zoomScalePageLayoutView="110" workbookViewId="0"/>
  </sheetViews>
  <sheetFormatPr defaultColWidth="11.42578125" defaultRowHeight="15"/>
  <cols>
    <col min="1" max="1" width="3.85546875" customWidth="1"/>
    <col min="2" max="2" width="157.42578125" customWidth="1"/>
  </cols>
  <sheetData>
    <row r="2" spans="2:2" ht="21">
      <c r="B2" s="636" t="s">
        <v>386</v>
      </c>
    </row>
    <row r="3" spans="2:2" ht="3" customHeight="1">
      <c r="B3" s="636"/>
    </row>
    <row r="4" spans="2:2" ht="47.25">
      <c r="B4" s="635" t="s">
        <v>385</v>
      </c>
    </row>
    <row r="5" spans="2:2" ht="12" customHeight="1">
      <c r="B5" s="633"/>
    </row>
    <row r="6" spans="2:2" ht="15.75">
      <c r="B6" s="634" t="s">
        <v>375</v>
      </c>
    </row>
    <row r="7" spans="2:2" ht="47.25">
      <c r="B7" s="632" t="s">
        <v>376</v>
      </c>
    </row>
    <row r="8" spans="2:2" ht="15.75">
      <c r="B8" s="632"/>
    </row>
    <row r="9" spans="2:2" ht="21.95" customHeight="1">
      <c r="B9" s="639" t="s">
        <v>377</v>
      </c>
    </row>
    <row r="10" spans="2:2" ht="110.25">
      <c r="B10" s="637" t="s">
        <v>382</v>
      </c>
    </row>
    <row r="11" spans="2:2" ht="8.1" customHeight="1">
      <c r="B11" s="632"/>
    </row>
    <row r="12" spans="2:2" ht="35.1" customHeight="1">
      <c r="B12" s="637" t="s">
        <v>387</v>
      </c>
    </row>
    <row r="13" spans="2:2" ht="11.1" customHeight="1">
      <c r="B13" s="637"/>
    </row>
    <row r="14" spans="2:2" ht="47.25">
      <c r="B14" s="637" t="s">
        <v>388</v>
      </c>
    </row>
    <row r="15" spans="2:2" ht="9.9499999999999993" customHeight="1">
      <c r="B15" s="632"/>
    </row>
    <row r="16" spans="2:2" ht="21" customHeight="1">
      <c r="B16" s="639" t="s">
        <v>378</v>
      </c>
    </row>
    <row r="17" spans="2:2" ht="17.100000000000001" customHeight="1">
      <c r="B17" s="637" t="s">
        <v>379</v>
      </c>
    </row>
    <row r="18" spans="2:2" ht="3.95" customHeight="1">
      <c r="B18" s="637"/>
    </row>
    <row r="19" spans="2:2" ht="63">
      <c r="B19" s="637" t="s">
        <v>389</v>
      </c>
    </row>
    <row r="20" spans="2:2" ht="6.95" customHeight="1">
      <c r="B20" s="632"/>
    </row>
    <row r="21" spans="2:2" ht="31.5">
      <c r="B21" s="638" t="s">
        <v>380</v>
      </c>
    </row>
    <row r="22" spans="2:2" ht="3.95" customHeight="1">
      <c r="B22" s="637"/>
    </row>
    <row r="23" spans="2:2" ht="47.25">
      <c r="B23" s="637" t="s">
        <v>381</v>
      </c>
    </row>
    <row r="24" spans="2:2" ht="15.75">
      <c r="B24" s="632"/>
    </row>
    <row r="25" spans="2:2" ht="31.5">
      <c r="B25" s="640" t="s">
        <v>383</v>
      </c>
    </row>
    <row r="26" spans="2:2" ht="5.0999999999999996" customHeight="1">
      <c r="B26" s="633"/>
    </row>
    <row r="27" spans="2:2" ht="31.5">
      <c r="B27" s="647" t="s">
        <v>384</v>
      </c>
    </row>
    <row r="29" spans="2:2">
      <c r="B29" t="s">
        <v>393</v>
      </c>
    </row>
    <row r="31" spans="2:2">
      <c r="B31" s="646" t="s">
        <v>390</v>
      </c>
    </row>
    <row r="32" spans="2:2">
      <c r="B32" s="646" t="s">
        <v>391</v>
      </c>
    </row>
    <row r="33" spans="2:2">
      <c r="B33" s="646" t="s">
        <v>392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3:N54"/>
  <sheetViews>
    <sheetView workbookViewId="0"/>
  </sheetViews>
  <sheetFormatPr defaultColWidth="11.42578125" defaultRowHeight="15"/>
  <cols>
    <col min="1" max="1" width="2.7109375" customWidth="1"/>
    <col min="2" max="2" width="4.28515625" customWidth="1"/>
    <col min="3" max="3" width="46" customWidth="1"/>
    <col min="4" max="4" width="14.85546875" customWidth="1"/>
    <col min="5" max="5" width="16" customWidth="1"/>
    <col min="6" max="6" width="12.85546875" customWidth="1"/>
    <col min="7" max="7" width="13.85546875" customWidth="1"/>
    <col min="8" max="8" width="16" customWidth="1"/>
    <col min="9" max="9" width="16.42578125" customWidth="1"/>
    <col min="10" max="10" width="14" customWidth="1"/>
    <col min="11" max="11" width="15.85546875" customWidth="1"/>
    <col min="13" max="13" width="11.140625" bestFit="1" customWidth="1"/>
  </cols>
  <sheetData>
    <row r="3" spans="2:12" ht="21">
      <c r="C3" s="113" t="s">
        <v>105</v>
      </c>
      <c r="D3" s="113"/>
    </row>
    <row r="4" spans="2:12" ht="18.75">
      <c r="C4" s="628" t="s">
        <v>232</v>
      </c>
      <c r="D4" s="321"/>
    </row>
    <row r="5" spans="2:12" ht="15.75">
      <c r="C5" s="35"/>
      <c r="D5" s="35"/>
    </row>
    <row r="6" spans="2:12" ht="15.75">
      <c r="D6" s="357" t="s">
        <v>252</v>
      </c>
      <c r="E6" s="357" t="s">
        <v>223</v>
      </c>
      <c r="F6" s="358" t="s">
        <v>224</v>
      </c>
      <c r="G6" s="358" t="s">
        <v>225</v>
      </c>
      <c r="H6" s="358" t="s">
        <v>226</v>
      </c>
      <c r="I6" s="358" t="s">
        <v>227</v>
      </c>
      <c r="J6" s="358" t="s">
        <v>228</v>
      </c>
      <c r="K6" s="358" t="s">
        <v>229</v>
      </c>
      <c r="L6" s="160"/>
    </row>
    <row r="7" spans="2:12" ht="15.75">
      <c r="B7" s="16"/>
      <c r="C7" s="35" t="s">
        <v>230</v>
      </c>
      <c r="D7" s="596">
        <v>0</v>
      </c>
      <c r="E7" s="323">
        <f>'2.Output '!$G$28</f>
        <v>9969812.4649509192</v>
      </c>
      <c r="F7" s="323">
        <f>'2.Output '!$G$28</f>
        <v>9969812.4649509192</v>
      </c>
      <c r="G7" s="323">
        <f>'2.Output '!$G$28</f>
        <v>9969812.4649509192</v>
      </c>
      <c r="H7" s="323">
        <f>'2.Output '!$G$28</f>
        <v>9969812.4649509192</v>
      </c>
      <c r="I7" s="323">
        <f>'2.Output '!$G$28</f>
        <v>9969812.4649509192</v>
      </c>
      <c r="J7" s="323">
        <f>'2.Output '!$G$28</f>
        <v>9969812.4649509192</v>
      </c>
      <c r="K7" s="323">
        <f>'2.Output '!$G$28</f>
        <v>9969812.4649509192</v>
      </c>
      <c r="L7" s="341"/>
    </row>
    <row r="8" spans="2:12" ht="15.75">
      <c r="B8" s="16"/>
      <c r="C8" s="35"/>
      <c r="D8" s="596"/>
      <c r="E8" s="620"/>
      <c r="F8" s="598"/>
      <c r="G8" s="599"/>
      <c r="H8" s="600"/>
      <c r="I8" s="600"/>
      <c r="J8" s="600"/>
      <c r="K8" s="600"/>
      <c r="L8" s="341"/>
    </row>
    <row r="9" spans="2:12" ht="15.75">
      <c r="B9" s="16"/>
      <c r="C9" s="162" t="s">
        <v>107</v>
      </c>
      <c r="D9" s="621">
        <v>0</v>
      </c>
      <c r="E9" s="324">
        <f>-SUM('2.Output '!$F$17+'2.Output '!$F$18+'2.Output '!$F$21+'2.Output '!$F$22)</f>
        <v>-21192670.082607362</v>
      </c>
      <c r="F9" s="324">
        <f>-SUM('2.Output '!$F$17+'2.Output '!$F$18+'2.Output '!$F$21+'2.Output '!$F$22)</f>
        <v>-21192670.082607362</v>
      </c>
      <c r="G9" s="324">
        <f>-SUM('2.Output '!$F$17+'2.Output '!$F$18+'2.Output '!$F$21+'2.Output '!$F$22)</f>
        <v>-21192670.082607362</v>
      </c>
      <c r="H9" s="324">
        <f>-SUM('2.Output '!$F$17+'2.Output '!$F$18+'2.Output '!$F$21+'2.Output '!$F$22)</f>
        <v>-21192670.082607362</v>
      </c>
      <c r="I9" s="324">
        <f>-SUM('2.Output '!$F$17+'2.Output '!$F$18+'2.Output '!$F$21+'2.Output '!$F$22)</f>
        <v>-21192670.082607362</v>
      </c>
      <c r="J9" s="324">
        <f>-SUM('2.Output '!$F$17+'2.Output '!$F$18+'2.Output '!$F$21+'2.Output '!$F$22)</f>
        <v>-21192670.082607362</v>
      </c>
      <c r="K9" s="324">
        <f>-SUM('2.Output '!$F$17+'2.Output '!$F$18+'2.Output '!$F$21+'2.Output '!$F$22)</f>
        <v>-21192670.082607362</v>
      </c>
      <c r="L9" s="341"/>
    </row>
    <row r="10" spans="2:12" ht="16.5" thickBot="1">
      <c r="C10" s="331" t="s">
        <v>110</v>
      </c>
      <c r="D10" s="622">
        <f>D9+D7</f>
        <v>0</v>
      </c>
      <c r="E10" s="604">
        <f>SUM(E7+E9)</f>
        <v>-11222857.617656443</v>
      </c>
      <c r="F10" s="604">
        <f t="shared" ref="F10:K10" si="0">F7+F9</f>
        <v>-11222857.617656443</v>
      </c>
      <c r="G10" s="604">
        <f t="shared" si="0"/>
        <v>-11222857.617656443</v>
      </c>
      <c r="H10" s="604">
        <f t="shared" si="0"/>
        <v>-11222857.617656443</v>
      </c>
      <c r="I10" s="604">
        <f t="shared" si="0"/>
        <v>-11222857.617656443</v>
      </c>
      <c r="J10" s="604">
        <f t="shared" si="0"/>
        <v>-11222857.617656443</v>
      </c>
      <c r="K10" s="604">
        <f t="shared" si="0"/>
        <v>-11222857.617656443</v>
      </c>
      <c r="L10" s="341"/>
    </row>
    <row r="11" spans="2:12" ht="16.5" thickTop="1">
      <c r="C11" s="84"/>
      <c r="D11" s="623"/>
      <c r="E11" s="606"/>
      <c r="F11" s="607"/>
      <c r="G11" s="606"/>
      <c r="H11" s="608"/>
      <c r="I11" s="608"/>
      <c r="J11" s="609"/>
      <c r="K11" s="608"/>
      <c r="L11" s="341"/>
    </row>
    <row r="12" spans="2:12" ht="15.75">
      <c r="C12" s="162" t="s">
        <v>108</v>
      </c>
      <c r="D12" s="621">
        <v>0</v>
      </c>
      <c r="E12" s="324">
        <f>-SUM('2.Output '!$F$13+'2.Output '!F14+'2.Output '!$F$15+'2.Output '!$F$19+'2.Output '!$F$20)</f>
        <v>-10692758.249379631</v>
      </c>
      <c r="F12" s="324">
        <f>-SUM('2.Output '!$F$13+'2.Output '!$F$15+'2.Output '!$F$19+'2.Output '!$F$20)</f>
        <v>-10535258.249379631</v>
      </c>
      <c r="G12" s="324">
        <f>-SUM('2.Output '!$F$13+'2.Output '!$F$15+'2.Output '!$F$19+'2.Output '!$F$20)</f>
        <v>-10535258.249379631</v>
      </c>
      <c r="H12" s="324">
        <f>-SUM('2.Output '!$F$13+'2.Output '!$F$15+'2.Output '!$F$19+'2.Output '!$F$20)</f>
        <v>-10535258.249379631</v>
      </c>
      <c r="I12" s="324">
        <f>-SUM('2.Output '!$F$13+'2.Output '!$F$15+'2.Output '!$F$19+'2.Output '!$F$20)</f>
        <v>-10535258.249379631</v>
      </c>
      <c r="J12" s="324">
        <f>-SUM('2.Output '!$F$13+'2.Output '!$F$15+'2.Output '!$F$19+'2.Output '!$F$20)</f>
        <v>-10535258.249379631</v>
      </c>
      <c r="K12" s="324">
        <f>-SUM('2.Output '!$F$13+'2.Output '!$F$15+'2.Output '!$F$19+'2.Output '!$F$20)</f>
        <v>-10535258.249379631</v>
      </c>
      <c r="L12" s="341"/>
    </row>
    <row r="13" spans="2:12" ht="16.5" thickBot="1">
      <c r="C13" s="331" t="s">
        <v>102</v>
      </c>
      <c r="D13" s="604">
        <f>D10+D12</f>
        <v>0</v>
      </c>
      <c r="E13" s="604">
        <f>E10+E12</f>
        <v>-21915615.867036074</v>
      </c>
      <c r="F13" s="604">
        <f t="shared" ref="F13:K13" si="1">F10+F12</f>
        <v>-21758115.867036074</v>
      </c>
      <c r="G13" s="604">
        <f t="shared" si="1"/>
        <v>-21758115.867036074</v>
      </c>
      <c r="H13" s="604">
        <f t="shared" si="1"/>
        <v>-21758115.867036074</v>
      </c>
      <c r="I13" s="604">
        <f t="shared" si="1"/>
        <v>-21758115.867036074</v>
      </c>
      <c r="J13" s="604">
        <f t="shared" si="1"/>
        <v>-21758115.867036074</v>
      </c>
      <c r="K13" s="604">
        <f t="shared" si="1"/>
        <v>-21758115.867036074</v>
      </c>
      <c r="L13" s="341"/>
    </row>
    <row r="14" spans="2:12" ht="16.5" thickTop="1">
      <c r="C14" s="84"/>
      <c r="D14" s="623"/>
      <c r="E14" s="606"/>
      <c r="F14" s="607"/>
      <c r="G14" s="606"/>
      <c r="H14" s="608"/>
      <c r="I14" s="608"/>
      <c r="J14" s="609"/>
      <c r="K14" s="608"/>
      <c r="L14" s="341"/>
    </row>
    <row r="15" spans="2:12" ht="15.75">
      <c r="C15" s="162" t="s">
        <v>109</v>
      </c>
      <c r="D15" s="621">
        <v>0</v>
      </c>
      <c r="E15" s="602">
        <f>-'2.Output '!$F$12</f>
        <v>-82600.000000000015</v>
      </c>
      <c r="F15" s="602">
        <f>-'2.Output '!$F$12</f>
        <v>-82600.000000000015</v>
      </c>
      <c r="G15" s="602">
        <f>-'2.Output '!$F$12</f>
        <v>-82600.000000000015</v>
      </c>
      <c r="H15" s="602">
        <f>-'2.Output '!$F$12</f>
        <v>-82600.000000000015</v>
      </c>
      <c r="I15" s="602">
        <f>-'2.Output '!$F$12</f>
        <v>-82600.000000000015</v>
      </c>
      <c r="J15" s="602">
        <f>-'2.Output '!$F$12</f>
        <v>-82600.000000000015</v>
      </c>
      <c r="K15" s="602">
        <f>-'2.Output '!$F$12</f>
        <v>-82600.000000000015</v>
      </c>
      <c r="L15" s="341"/>
    </row>
    <row r="16" spans="2:12" ht="16.5" thickBot="1">
      <c r="C16" s="331" t="s">
        <v>103</v>
      </c>
      <c r="D16" s="604">
        <f>D13+D15</f>
        <v>0</v>
      </c>
      <c r="E16" s="604">
        <f>E13+E15</f>
        <v>-21998215.867036074</v>
      </c>
      <c r="F16" s="604">
        <f t="shared" ref="F16:K16" si="2">F13+F15</f>
        <v>-21840715.867036074</v>
      </c>
      <c r="G16" s="604">
        <f t="shared" si="2"/>
        <v>-21840715.867036074</v>
      </c>
      <c r="H16" s="604">
        <f t="shared" si="2"/>
        <v>-21840715.867036074</v>
      </c>
      <c r="I16" s="604">
        <f t="shared" si="2"/>
        <v>-21840715.867036074</v>
      </c>
      <c r="J16" s="604">
        <f t="shared" si="2"/>
        <v>-21840715.867036074</v>
      </c>
      <c r="K16" s="604">
        <f t="shared" si="2"/>
        <v>-21840715.867036074</v>
      </c>
      <c r="L16" s="341"/>
    </row>
    <row r="17" spans="2:14" ht="16.5" thickTop="1">
      <c r="C17" s="84"/>
      <c r="D17" s="623"/>
      <c r="E17" s="606"/>
      <c r="F17" s="607"/>
      <c r="G17" s="608"/>
      <c r="H17" s="610"/>
      <c r="I17" s="611"/>
      <c r="J17" s="609"/>
      <c r="K17" s="608"/>
      <c r="L17" s="341"/>
    </row>
    <row r="18" spans="2:14" ht="15.75">
      <c r="C18" s="290" t="s">
        <v>111</v>
      </c>
      <c r="D18" s="624">
        <v>0</v>
      </c>
      <c r="E18" s="613">
        <v>0</v>
      </c>
      <c r="F18" s="613">
        <v>0</v>
      </c>
      <c r="G18" s="613">
        <v>0</v>
      </c>
      <c r="H18" s="613">
        <v>0</v>
      </c>
      <c r="I18" s="613">
        <v>0</v>
      </c>
      <c r="J18" s="613">
        <v>0</v>
      </c>
      <c r="K18" s="613">
        <v>0</v>
      </c>
      <c r="L18" s="341"/>
      <c r="M18" s="311" t="s">
        <v>245</v>
      </c>
    </row>
    <row r="19" spans="2:14" ht="16.5" thickBot="1">
      <c r="C19" s="337" t="s">
        <v>104</v>
      </c>
      <c r="D19" s="615">
        <f>D16+D18</f>
        <v>0</v>
      </c>
      <c r="E19" s="615">
        <f>E16+E18</f>
        <v>-21998215.867036074</v>
      </c>
      <c r="F19" s="615">
        <f t="shared" ref="F19:K19" si="3">F16+F18</f>
        <v>-21840715.867036074</v>
      </c>
      <c r="G19" s="615">
        <f t="shared" si="3"/>
        <v>-21840715.867036074</v>
      </c>
      <c r="H19" s="615">
        <f t="shared" si="3"/>
        <v>-21840715.867036074</v>
      </c>
      <c r="I19" s="615">
        <f t="shared" si="3"/>
        <v>-21840715.867036074</v>
      </c>
      <c r="J19" s="615">
        <f t="shared" si="3"/>
        <v>-21840715.867036074</v>
      </c>
      <c r="K19" s="615">
        <f t="shared" si="3"/>
        <v>-21840715.867036074</v>
      </c>
      <c r="L19" s="341"/>
    </row>
    <row r="20" spans="2:14" ht="16.5" thickTop="1">
      <c r="C20" s="338"/>
      <c r="D20" s="625"/>
      <c r="E20" s="617"/>
      <c r="F20" s="618"/>
      <c r="G20" s="618"/>
      <c r="H20" s="618"/>
      <c r="I20" s="618"/>
      <c r="J20" s="618"/>
      <c r="K20" s="618"/>
      <c r="L20" s="341"/>
    </row>
    <row r="21" spans="2:14" ht="15.75">
      <c r="B21" s="223"/>
      <c r="C21" s="328" t="s">
        <v>246</v>
      </c>
      <c r="D21" s="624">
        <v>0</v>
      </c>
      <c r="E21" s="324">
        <f t="shared" ref="E21:K21" si="4">-IF(E19&gt;200000,25%*(E19-200000)+40000,IF(E19&gt;0, 20%*E19,"0"))</f>
        <v>0</v>
      </c>
      <c r="F21" s="324">
        <f t="shared" si="4"/>
        <v>0</v>
      </c>
      <c r="G21" s="324">
        <f t="shared" si="4"/>
        <v>0</v>
      </c>
      <c r="H21" s="324">
        <f t="shared" si="4"/>
        <v>0</v>
      </c>
      <c r="I21" s="324">
        <f t="shared" si="4"/>
        <v>0</v>
      </c>
      <c r="J21" s="324">
        <f t="shared" si="4"/>
        <v>0</v>
      </c>
      <c r="K21" s="324">
        <f t="shared" si="4"/>
        <v>0</v>
      </c>
      <c r="L21" s="341"/>
      <c r="M21" s="311" t="s">
        <v>247</v>
      </c>
    </row>
    <row r="22" spans="2:14" ht="16.5" thickBot="1">
      <c r="B22" s="223"/>
      <c r="C22" s="337" t="s">
        <v>304</v>
      </c>
      <c r="D22" s="615">
        <f t="shared" ref="D22:K22" si="5">D19+D21</f>
        <v>0</v>
      </c>
      <c r="E22" s="615">
        <f t="shared" si="5"/>
        <v>-21998215.867036074</v>
      </c>
      <c r="F22" s="615">
        <f t="shared" si="5"/>
        <v>-21840715.867036074</v>
      </c>
      <c r="G22" s="615">
        <f t="shared" si="5"/>
        <v>-21840715.867036074</v>
      </c>
      <c r="H22" s="615">
        <f t="shared" si="5"/>
        <v>-21840715.867036074</v>
      </c>
      <c r="I22" s="615">
        <f t="shared" si="5"/>
        <v>-21840715.867036074</v>
      </c>
      <c r="J22" s="615">
        <f t="shared" si="5"/>
        <v>-21840715.867036074</v>
      </c>
      <c r="K22" s="615">
        <f t="shared" si="5"/>
        <v>-21840715.867036074</v>
      </c>
      <c r="L22" s="341"/>
    </row>
    <row r="23" spans="2:14" ht="16.5" thickTop="1">
      <c r="E23" s="287"/>
      <c r="F23" s="288"/>
      <c r="G23" s="288"/>
      <c r="H23" s="289"/>
      <c r="I23" s="289"/>
      <c r="J23" s="289"/>
      <c r="K23" s="288"/>
      <c r="L23" s="160"/>
      <c r="N23" s="188"/>
    </row>
    <row r="24" spans="2:14" ht="15.75">
      <c r="C24" s="286"/>
      <c r="D24" s="286"/>
      <c r="E24" s="287"/>
      <c r="F24" s="288"/>
      <c r="G24" s="288"/>
      <c r="H24" s="289"/>
      <c r="I24" s="289"/>
      <c r="J24" s="289"/>
      <c r="K24" s="288"/>
      <c r="L24" s="160"/>
      <c r="M24" s="360"/>
    </row>
    <row r="26" spans="2:14" ht="18.75">
      <c r="C26" s="322" t="s">
        <v>231</v>
      </c>
      <c r="D26" s="322"/>
      <c r="M26" s="361"/>
    </row>
    <row r="27" spans="2:14">
      <c r="M27" s="234"/>
    </row>
    <row r="28" spans="2:14" ht="15.75">
      <c r="D28" s="358" t="s">
        <v>252</v>
      </c>
      <c r="E28" s="358" t="s">
        <v>223</v>
      </c>
      <c r="F28" s="358" t="s">
        <v>224</v>
      </c>
      <c r="G28" s="358" t="s">
        <v>225</v>
      </c>
      <c r="H28" s="358" t="s">
        <v>226</v>
      </c>
      <c r="I28" s="358" t="s">
        <v>227</v>
      </c>
      <c r="J28" s="358" t="s">
        <v>228</v>
      </c>
      <c r="K28" s="358" t="s">
        <v>229</v>
      </c>
    </row>
    <row r="29" spans="2:14" ht="15.75">
      <c r="C29" s="35" t="s">
        <v>233</v>
      </c>
      <c r="D29" s="35"/>
      <c r="E29" s="120"/>
      <c r="F29" s="16"/>
      <c r="G29" s="35"/>
      <c r="H29" s="160"/>
      <c r="I29" s="160"/>
      <c r="J29" s="160"/>
      <c r="K29" s="160"/>
    </row>
    <row r="30" spans="2:14" ht="15.75">
      <c r="C30" s="327" t="s">
        <v>234</v>
      </c>
      <c r="D30" s="368">
        <v>0</v>
      </c>
      <c r="E30" s="324">
        <f t="shared" ref="E30:K30" si="6">E22</f>
        <v>-21998215.867036074</v>
      </c>
      <c r="F30" s="324">
        <f t="shared" si="6"/>
        <v>-21840715.867036074</v>
      </c>
      <c r="G30" s="324">
        <f t="shared" si="6"/>
        <v>-21840715.867036074</v>
      </c>
      <c r="H30" s="324">
        <f t="shared" si="6"/>
        <v>-21840715.867036074</v>
      </c>
      <c r="I30" s="324">
        <f t="shared" si="6"/>
        <v>-21840715.867036074</v>
      </c>
      <c r="J30" s="324">
        <f t="shared" si="6"/>
        <v>-21840715.867036074</v>
      </c>
      <c r="K30" s="324">
        <f t="shared" si="6"/>
        <v>-21840715.867036074</v>
      </c>
      <c r="M30" s="234"/>
    </row>
    <row r="31" spans="2:14" ht="15.75">
      <c r="C31" s="329" t="s">
        <v>243</v>
      </c>
      <c r="D31" s="375"/>
      <c r="E31" s="325"/>
      <c r="F31" s="339"/>
      <c r="G31" s="340"/>
      <c r="H31" s="341"/>
      <c r="I31" s="341"/>
      <c r="J31" s="323"/>
      <c r="K31" s="341"/>
      <c r="M31" s="234"/>
    </row>
    <row r="32" spans="2:14" ht="15.75">
      <c r="C32" s="327" t="s">
        <v>30</v>
      </c>
      <c r="D32" s="376">
        <v>0</v>
      </c>
      <c r="E32" s="324">
        <f t="shared" ref="E32:K32" si="7">-E15</f>
        <v>82600.000000000015</v>
      </c>
      <c r="F32" s="324">
        <f t="shared" si="7"/>
        <v>82600.000000000015</v>
      </c>
      <c r="G32" s="324">
        <f t="shared" si="7"/>
        <v>82600.000000000015</v>
      </c>
      <c r="H32" s="324">
        <f t="shared" si="7"/>
        <v>82600.000000000015</v>
      </c>
      <c r="I32" s="324">
        <f t="shared" si="7"/>
        <v>82600.000000000015</v>
      </c>
      <c r="J32" s="324">
        <f t="shared" si="7"/>
        <v>82600.000000000015</v>
      </c>
      <c r="K32" s="324">
        <f t="shared" si="7"/>
        <v>82600.000000000015</v>
      </c>
      <c r="L32" s="160"/>
      <c r="M32" s="234"/>
    </row>
    <row r="33" spans="2:13" ht="16.5" thickBot="1">
      <c r="C33" s="330" t="s">
        <v>235</v>
      </c>
      <c r="D33" s="342">
        <f>SUM(D30:D32)</f>
        <v>0</v>
      </c>
      <c r="E33" s="342">
        <f>SUM(E30:E32)</f>
        <v>-21915615.867036074</v>
      </c>
      <c r="F33" s="342">
        <f t="shared" ref="F33:K33" si="8">SUM(F30:F32)</f>
        <v>-21758115.867036074</v>
      </c>
      <c r="G33" s="342">
        <f t="shared" si="8"/>
        <v>-21758115.867036074</v>
      </c>
      <c r="H33" s="342">
        <f t="shared" si="8"/>
        <v>-21758115.867036074</v>
      </c>
      <c r="I33" s="342">
        <f t="shared" si="8"/>
        <v>-21758115.867036074</v>
      </c>
      <c r="J33" s="342">
        <f t="shared" si="8"/>
        <v>-21758115.867036074</v>
      </c>
      <c r="K33" s="342">
        <f t="shared" si="8"/>
        <v>-21758115.867036074</v>
      </c>
      <c r="L33" s="160"/>
      <c r="M33" s="234"/>
    </row>
    <row r="34" spans="2:13" ht="16.5" thickTop="1">
      <c r="C34" s="333"/>
      <c r="D34" s="369"/>
      <c r="E34" s="351"/>
      <c r="F34" s="343"/>
      <c r="G34" s="344"/>
      <c r="H34" s="344"/>
      <c r="I34" s="344"/>
      <c r="J34" s="352"/>
      <c r="K34" s="344"/>
      <c r="L34" s="160"/>
      <c r="M34" s="234"/>
    </row>
    <row r="35" spans="2:13" ht="15.75">
      <c r="C35" s="51" t="s">
        <v>236</v>
      </c>
      <c r="D35" s="370"/>
      <c r="E35" s="324"/>
      <c r="F35" s="341"/>
      <c r="G35" s="341"/>
      <c r="H35" s="341"/>
      <c r="I35" s="341"/>
      <c r="J35" s="324"/>
      <c r="K35" s="341"/>
      <c r="L35" s="160"/>
      <c r="M35" s="234"/>
    </row>
    <row r="36" spans="2:13" ht="15.75">
      <c r="C36" s="327" t="s">
        <v>237</v>
      </c>
      <c r="D36" s="349">
        <f>-'2.Output '!E28</f>
        <v>-1575000</v>
      </c>
      <c r="E36" s="362">
        <v>0</v>
      </c>
      <c r="F36" s="362">
        <v>0</v>
      </c>
      <c r="G36" s="362">
        <v>0</v>
      </c>
      <c r="H36" s="362">
        <v>0</v>
      </c>
      <c r="I36" s="362">
        <v>0</v>
      </c>
      <c r="J36" s="362">
        <v>0</v>
      </c>
      <c r="K36" s="362">
        <v>0</v>
      </c>
      <c r="L36" s="160"/>
      <c r="M36" s="234"/>
    </row>
    <row r="37" spans="2:13" ht="16.5" thickBot="1">
      <c r="C37" s="332" t="s">
        <v>238</v>
      </c>
      <c r="D37" s="350">
        <f>SUM(D36)</f>
        <v>-1575000</v>
      </c>
      <c r="E37" s="350">
        <f t="shared" ref="E37:K37" si="9">SUM(E36)</f>
        <v>0</v>
      </c>
      <c r="F37" s="350">
        <f t="shared" si="9"/>
        <v>0</v>
      </c>
      <c r="G37" s="350">
        <f t="shared" si="9"/>
        <v>0</v>
      </c>
      <c r="H37" s="350">
        <f t="shared" si="9"/>
        <v>0</v>
      </c>
      <c r="I37" s="350">
        <f t="shared" si="9"/>
        <v>0</v>
      </c>
      <c r="J37" s="350">
        <f t="shared" si="9"/>
        <v>0</v>
      </c>
      <c r="K37" s="350">
        <f t="shared" si="9"/>
        <v>0</v>
      </c>
      <c r="L37" s="160"/>
      <c r="M37" s="234"/>
    </row>
    <row r="38" spans="2:13" ht="16.5" thickTop="1">
      <c r="C38" s="334"/>
      <c r="D38" s="371"/>
      <c r="E38" s="345"/>
      <c r="F38" s="345"/>
      <c r="G38" s="345"/>
      <c r="H38" s="346"/>
      <c r="I38" s="347"/>
      <c r="J38" s="348"/>
      <c r="K38" s="345"/>
      <c r="L38" s="160"/>
      <c r="M38" s="234"/>
    </row>
    <row r="39" spans="2:13" ht="15.75">
      <c r="C39" s="286" t="s">
        <v>239</v>
      </c>
      <c r="D39" s="372"/>
      <c r="E39" s="353"/>
      <c r="F39" s="326"/>
      <c r="G39" s="326"/>
      <c r="H39" s="326"/>
      <c r="I39" s="326"/>
      <c r="J39" s="326"/>
      <c r="K39" s="326"/>
      <c r="L39" s="160"/>
      <c r="M39" s="234"/>
    </row>
    <row r="40" spans="2:13" ht="15.75">
      <c r="C40" s="328" t="s">
        <v>240</v>
      </c>
      <c r="D40" s="354">
        <v>0</v>
      </c>
      <c r="E40" s="354">
        <v>0</v>
      </c>
      <c r="F40" s="354">
        <v>0</v>
      </c>
      <c r="G40" s="354">
        <v>0</v>
      </c>
      <c r="H40" s="354">
        <v>0</v>
      </c>
      <c r="I40" s="354">
        <v>0</v>
      </c>
      <c r="J40" s="354">
        <v>0</v>
      </c>
      <c r="K40" s="354">
        <v>0</v>
      </c>
      <c r="L40" s="160"/>
      <c r="M40" s="294"/>
    </row>
    <row r="41" spans="2:13" ht="15.75">
      <c r="C41" s="328" t="s">
        <v>241</v>
      </c>
      <c r="D41" s="354">
        <v>0</v>
      </c>
      <c r="E41" s="354">
        <v>0</v>
      </c>
      <c r="F41" s="354">
        <v>0</v>
      </c>
      <c r="G41" s="354">
        <v>0</v>
      </c>
      <c r="H41" s="354">
        <v>0</v>
      </c>
      <c r="I41" s="354">
        <v>0</v>
      </c>
      <c r="J41" s="354">
        <v>0</v>
      </c>
      <c r="K41" s="354">
        <v>0</v>
      </c>
      <c r="L41" s="160"/>
      <c r="M41" s="234"/>
    </row>
    <row r="42" spans="2:13" ht="16.5" thickBot="1">
      <c r="B42" s="160"/>
      <c r="C42" s="332" t="s">
        <v>242</v>
      </c>
      <c r="D42" s="355">
        <f>SUM(D40:D41)</f>
        <v>0</v>
      </c>
      <c r="E42" s="355">
        <f>SUM(E40:E41)</f>
        <v>0</v>
      </c>
      <c r="F42" s="355">
        <f t="shared" ref="F42:K42" si="10">SUM(F40:F41)</f>
        <v>0</v>
      </c>
      <c r="G42" s="355">
        <f t="shared" si="10"/>
        <v>0</v>
      </c>
      <c r="H42" s="355">
        <f t="shared" si="10"/>
        <v>0</v>
      </c>
      <c r="I42" s="355">
        <f t="shared" si="10"/>
        <v>0</v>
      </c>
      <c r="J42" s="355">
        <f t="shared" si="10"/>
        <v>0</v>
      </c>
      <c r="K42" s="355">
        <f t="shared" si="10"/>
        <v>0</v>
      </c>
      <c r="L42" s="160"/>
    </row>
    <row r="43" spans="2:13" ht="16.5" thickTop="1">
      <c r="B43" s="160"/>
      <c r="C43" s="334"/>
      <c r="D43" s="371"/>
      <c r="E43" s="345"/>
      <c r="F43" s="345"/>
      <c r="G43" s="345"/>
      <c r="H43" s="345"/>
      <c r="I43" s="345"/>
      <c r="J43" s="345"/>
      <c r="K43" s="345"/>
      <c r="L43" s="160"/>
      <c r="M43" s="293"/>
    </row>
    <row r="44" spans="2:13" ht="16.5" thickBot="1">
      <c r="C44" s="335" t="s">
        <v>244</v>
      </c>
      <c r="D44" s="356">
        <f>SUM(D42+D37+D33)</f>
        <v>-1575000</v>
      </c>
      <c r="E44" s="356">
        <f>SUM(E42+E37+E33)</f>
        <v>-21915615.867036074</v>
      </c>
      <c r="F44" s="356">
        <f t="shared" ref="F44:K44" si="11">SUM(F42+F37+F33)</f>
        <v>-21758115.867036074</v>
      </c>
      <c r="G44" s="356">
        <f t="shared" si="11"/>
        <v>-21758115.867036074</v>
      </c>
      <c r="H44" s="356">
        <f t="shared" si="11"/>
        <v>-21758115.867036074</v>
      </c>
      <c r="I44" s="356">
        <f t="shared" si="11"/>
        <v>-21758115.867036074</v>
      </c>
      <c r="J44" s="356">
        <f t="shared" si="11"/>
        <v>-21758115.867036074</v>
      </c>
      <c r="K44" s="356">
        <f t="shared" si="11"/>
        <v>-21758115.867036074</v>
      </c>
      <c r="L44" s="160"/>
    </row>
    <row r="45" spans="2:13" ht="16.5" thickTop="1">
      <c r="C45" s="336"/>
      <c r="D45" s="373"/>
      <c r="E45" s="291"/>
      <c r="F45" s="291"/>
      <c r="G45" s="291"/>
      <c r="H45" s="291"/>
      <c r="I45" s="291"/>
      <c r="J45" s="291"/>
      <c r="K45" s="291"/>
      <c r="L45" s="160"/>
    </row>
    <row r="46" spans="2:13" ht="15.75">
      <c r="C46" s="35" t="s">
        <v>248</v>
      </c>
      <c r="D46" s="359">
        <f>D44</f>
        <v>-1575000</v>
      </c>
      <c r="E46" s="287">
        <f>D46+E44</f>
        <v>-23490615.867036074</v>
      </c>
      <c r="F46" s="287">
        <f t="shared" ref="F46:K46" si="12">E46+F44</f>
        <v>-45248731.734072149</v>
      </c>
      <c r="G46" s="287">
        <f t="shared" si="12"/>
        <v>-67006847.601108223</v>
      </c>
      <c r="H46" s="287">
        <f t="shared" si="12"/>
        <v>-88764963.468144298</v>
      </c>
      <c r="I46" s="287">
        <f t="shared" si="12"/>
        <v>-110523079.33518037</v>
      </c>
      <c r="J46" s="287">
        <f t="shared" si="12"/>
        <v>-132281195.20221645</v>
      </c>
      <c r="K46" s="287">
        <f t="shared" si="12"/>
        <v>-154039311.06925252</v>
      </c>
      <c r="L46" s="160"/>
    </row>
    <row r="47" spans="2:13" ht="15.75">
      <c r="D47" s="374"/>
      <c r="E47" s="292"/>
      <c r="F47" s="288"/>
      <c r="G47" s="288"/>
      <c r="H47" s="289"/>
      <c r="I47" s="289"/>
      <c r="J47" s="289"/>
      <c r="K47" s="288"/>
      <c r="L47" s="160"/>
    </row>
    <row r="48" spans="2:13" ht="15.75">
      <c r="C48" s="363" t="s">
        <v>254</v>
      </c>
      <c r="D48" s="377">
        <f>D30+D37</f>
        <v>-1575000</v>
      </c>
      <c r="E48" s="121">
        <f>E33+E36</f>
        <v>-21915615.867036074</v>
      </c>
      <c r="F48" s="121">
        <f t="shared" ref="F48:K48" si="13">F33+F36</f>
        <v>-21758115.867036074</v>
      </c>
      <c r="G48" s="121">
        <f t="shared" si="13"/>
        <v>-21758115.867036074</v>
      </c>
      <c r="H48" s="121">
        <f t="shared" si="13"/>
        <v>-21758115.867036074</v>
      </c>
      <c r="I48" s="121">
        <f t="shared" si="13"/>
        <v>-21758115.867036074</v>
      </c>
      <c r="J48" s="121">
        <f t="shared" si="13"/>
        <v>-21758115.867036074</v>
      </c>
      <c r="K48" s="121">
        <f t="shared" si="13"/>
        <v>-21758115.867036074</v>
      </c>
      <c r="L48" s="160"/>
      <c r="M48" s="382" t="s">
        <v>298</v>
      </c>
    </row>
    <row r="49" spans="3:13" ht="15.75">
      <c r="C49" s="49"/>
      <c r="D49" s="49"/>
      <c r="E49" s="35"/>
      <c r="F49" s="35"/>
      <c r="G49" s="35"/>
      <c r="H49" s="35"/>
      <c r="I49" s="35"/>
      <c r="J49" s="35"/>
      <c r="K49" s="35"/>
      <c r="L49" s="160"/>
    </row>
    <row r="50" spans="3:13" ht="15.75">
      <c r="L50" s="160"/>
      <c r="M50" s="107"/>
    </row>
    <row r="51" spans="3:13" ht="15.75">
      <c r="C51" s="366" t="s">
        <v>253</v>
      </c>
      <c r="D51" s="378">
        <v>0.12</v>
      </c>
      <c r="F51" s="16" t="s">
        <v>255</v>
      </c>
      <c r="L51" s="160"/>
      <c r="M51" s="385" t="s">
        <v>303</v>
      </c>
    </row>
    <row r="52" spans="3:13" ht="15.75">
      <c r="C52" s="35" t="s">
        <v>250</v>
      </c>
      <c r="D52" s="359">
        <f>NPV(D51,E48:K48)+D48</f>
        <v>-101014368.56144239</v>
      </c>
      <c r="F52" s="379" t="s">
        <v>296</v>
      </c>
      <c r="G52" s="160"/>
      <c r="H52" s="160"/>
      <c r="I52" s="160"/>
      <c r="J52" s="160"/>
      <c r="K52" s="160"/>
      <c r="L52" s="160"/>
    </row>
    <row r="53" spans="3:13" ht="15.75">
      <c r="C53" s="35" t="s">
        <v>152</v>
      </c>
      <c r="D53" s="183" t="str">
        <f>IFERROR(IRR(D48:K48),"-")</f>
        <v>-</v>
      </c>
      <c r="F53" s="626" t="s">
        <v>366</v>
      </c>
      <c r="G53" s="160"/>
      <c r="H53" s="160"/>
      <c r="I53" s="160"/>
      <c r="J53" s="160"/>
      <c r="K53" s="160"/>
      <c r="L53" s="160"/>
    </row>
    <row r="54" spans="3:13" ht="15.75">
      <c r="C54" s="35" t="s">
        <v>295</v>
      </c>
      <c r="D54" s="106">
        <f>(E22/-D37) *100%</f>
        <v>-13.96712118541973</v>
      </c>
      <c r="F54" s="16" t="s">
        <v>317</v>
      </c>
      <c r="L54" s="160"/>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FF00"/>
  </sheetPr>
  <dimension ref="A1:M74"/>
  <sheetViews>
    <sheetView workbookViewId="0"/>
  </sheetViews>
  <sheetFormatPr defaultColWidth="11.42578125" defaultRowHeight="15"/>
  <cols>
    <col min="1" max="1" width="3.85546875" customWidth="1"/>
    <col min="2" max="2" width="2.42578125" customWidth="1"/>
    <col min="3" max="3" width="25.28515625" customWidth="1"/>
    <col min="4" max="4" width="15.85546875" customWidth="1"/>
    <col min="5" max="5" width="13.85546875" bestFit="1" customWidth="1"/>
    <col min="6" max="7" width="20.28515625" customWidth="1"/>
    <col min="8" max="8" width="16.85546875" customWidth="1"/>
    <col min="9" max="9" width="13.140625" bestFit="1" customWidth="1"/>
    <col min="10" max="10" width="16" customWidth="1"/>
    <col min="11" max="11" width="15.85546875" customWidth="1"/>
    <col min="12" max="12" width="20.7109375" customWidth="1"/>
    <col min="13" max="13" width="22" customWidth="1"/>
  </cols>
  <sheetData>
    <row r="1" spans="1:13" ht="15.75" thickBot="1"/>
    <row r="2" spans="1:13" ht="15.75">
      <c r="E2" s="115" t="s">
        <v>31</v>
      </c>
      <c r="F2" s="124" t="s">
        <v>100</v>
      </c>
      <c r="G2" s="124"/>
      <c r="H2" s="124"/>
      <c r="I2" s="124" t="s">
        <v>99</v>
      </c>
      <c r="J2" s="125"/>
      <c r="K2" s="126"/>
      <c r="M2" s="86" t="s">
        <v>43</v>
      </c>
    </row>
    <row r="3" spans="1:13" ht="21">
      <c r="C3" s="7" t="s">
        <v>92</v>
      </c>
      <c r="E3" s="118"/>
      <c r="F3" s="154">
        <f>E17</f>
        <v>259210000</v>
      </c>
      <c r="G3" s="154" t="s">
        <v>281</v>
      </c>
      <c r="H3" s="154" t="s">
        <v>1</v>
      </c>
      <c r="I3" s="154">
        <f>H23</f>
        <v>104956196.31901839</v>
      </c>
      <c r="J3" s="155" t="s">
        <v>39</v>
      </c>
      <c r="K3" s="117" t="s">
        <v>170</v>
      </c>
      <c r="M3" s="87" t="s">
        <v>40</v>
      </c>
    </row>
    <row r="4" spans="1:13" ht="15.75">
      <c r="C4" s="8" t="s">
        <v>93</v>
      </c>
      <c r="E4" s="118"/>
      <c r="F4" s="154"/>
      <c r="G4" s="154"/>
      <c r="H4" s="154"/>
      <c r="I4" s="154">
        <f>H36</f>
        <v>11163522.699386504</v>
      </c>
      <c r="J4" s="155" t="s">
        <v>39</v>
      </c>
      <c r="K4" s="119" t="s">
        <v>137</v>
      </c>
      <c r="M4" s="88" t="s">
        <v>42</v>
      </c>
    </row>
    <row r="5" spans="1:13" ht="15.75">
      <c r="E5" s="118"/>
      <c r="F5" s="154"/>
      <c r="G5" s="154"/>
      <c r="H5" s="154"/>
      <c r="I5" s="297">
        <f>H50</f>
        <v>30269247.749999993</v>
      </c>
      <c r="J5" s="156" t="s">
        <v>39</v>
      </c>
      <c r="K5" s="117" t="s">
        <v>142</v>
      </c>
      <c r="M5" s="89" t="s">
        <v>41</v>
      </c>
    </row>
    <row r="6" spans="1:13" ht="18.75">
      <c r="D6" s="9"/>
      <c r="E6" s="118"/>
      <c r="F6" s="154"/>
      <c r="G6" s="154"/>
      <c r="H6" s="154"/>
      <c r="I6" s="297">
        <f>H58</f>
        <v>69443.777101334359</v>
      </c>
      <c r="J6" s="156" t="s">
        <v>39</v>
      </c>
      <c r="K6" s="117" t="s">
        <v>57</v>
      </c>
      <c r="M6" s="36" t="s">
        <v>59</v>
      </c>
    </row>
    <row r="7" spans="1:13" ht="19.5" thickBot="1">
      <c r="D7" s="9"/>
      <c r="E7" s="127"/>
      <c r="F7" s="157"/>
      <c r="G7" s="157"/>
      <c r="H7" s="157"/>
      <c r="I7" s="301">
        <f>H59</f>
        <v>330615209.08639562</v>
      </c>
      <c r="J7" s="158" t="s">
        <v>39</v>
      </c>
      <c r="K7" s="123" t="s">
        <v>144</v>
      </c>
    </row>
    <row r="8" spans="1:13" ht="18.75">
      <c r="C8" s="9"/>
      <c r="D8" s="9"/>
    </row>
    <row r="9" spans="1:13" ht="18.75">
      <c r="C9" s="9"/>
      <c r="D9" s="9"/>
      <c r="E9" s="9"/>
      <c r="M9" s="83"/>
    </row>
    <row r="10" spans="1:13" ht="30.95" customHeight="1">
      <c r="A10" s="42"/>
      <c r="B10" s="42"/>
      <c r="C10" s="90" t="s">
        <v>67</v>
      </c>
      <c r="D10" s="90"/>
      <c r="E10" s="91">
        <f>'Grass Processing'!E24</f>
        <v>77763000</v>
      </c>
      <c r="F10" s="446" t="s">
        <v>306</v>
      </c>
      <c r="G10" s="565"/>
      <c r="H10" s="565"/>
      <c r="I10" s="566"/>
      <c r="J10" s="565"/>
      <c r="K10" s="565"/>
      <c r="L10" s="42"/>
    </row>
    <row r="11" spans="1:13" ht="30.95" customHeight="1">
      <c r="A11" s="42"/>
      <c r="B11" s="42"/>
      <c r="C11" s="90"/>
      <c r="D11" s="90"/>
      <c r="E11" s="171">
        <f>'Grass Processing'!E23</f>
        <v>259210000</v>
      </c>
      <c r="F11" s="421" t="s">
        <v>305</v>
      </c>
      <c r="G11" s="181"/>
      <c r="H11" s="181"/>
      <c r="I11" s="181"/>
      <c r="J11" s="181"/>
      <c r="K11" s="181"/>
      <c r="L11" s="42"/>
    </row>
    <row r="12" spans="1:13" ht="15.75">
      <c r="A12" s="42"/>
      <c r="B12" s="42"/>
      <c r="C12" s="42"/>
      <c r="D12" s="42"/>
      <c r="E12" s="42"/>
      <c r="F12" s="42"/>
      <c r="G12" s="42"/>
      <c r="H12" s="42"/>
      <c r="I12" s="42"/>
      <c r="J12" s="42"/>
      <c r="K12" s="42"/>
      <c r="L12" s="42"/>
    </row>
    <row r="13" spans="1:13" ht="15.75">
      <c r="A13" s="42"/>
      <c r="B13" s="42"/>
      <c r="C13" s="31" t="s">
        <v>44</v>
      </c>
      <c r="D13" s="31" t="s">
        <v>25</v>
      </c>
      <c r="E13" s="31" t="s">
        <v>49</v>
      </c>
      <c r="F13" s="92"/>
      <c r="G13" s="93"/>
      <c r="H13" s="31" t="s">
        <v>50</v>
      </c>
      <c r="I13" s="92"/>
      <c r="J13" s="93"/>
      <c r="K13" s="35" t="s">
        <v>136</v>
      </c>
      <c r="L13" s="50" t="s">
        <v>345</v>
      </c>
    </row>
    <row r="14" spans="1:13" ht="15.75">
      <c r="A14" s="42"/>
      <c r="B14" s="42"/>
      <c r="C14" s="30"/>
      <c r="D14" s="30"/>
      <c r="E14" s="32" t="s">
        <v>38</v>
      </c>
      <c r="F14" s="33" t="s">
        <v>5</v>
      </c>
      <c r="G14" s="34" t="s">
        <v>14</v>
      </c>
      <c r="H14" s="32" t="s">
        <v>38</v>
      </c>
      <c r="I14" s="33" t="s">
        <v>5</v>
      </c>
      <c r="J14" s="34" t="s">
        <v>14</v>
      </c>
      <c r="K14" s="42"/>
      <c r="L14" s="42"/>
    </row>
    <row r="15" spans="1:13" ht="15.75">
      <c r="A15" s="42"/>
      <c r="B15" s="42"/>
      <c r="C15" s="26" t="s">
        <v>52</v>
      </c>
      <c r="D15" s="28"/>
      <c r="E15" s="130"/>
      <c r="F15" s="131"/>
      <c r="G15" s="132"/>
      <c r="H15" s="131"/>
      <c r="I15" s="131"/>
      <c r="J15" s="132"/>
      <c r="K15" s="227"/>
      <c r="L15" s="42"/>
    </row>
    <row r="16" spans="1:13" ht="15.75">
      <c r="A16" s="42"/>
      <c r="B16" s="42"/>
      <c r="C16" s="26"/>
      <c r="D16" s="21" t="s">
        <v>51</v>
      </c>
      <c r="E16" s="130"/>
      <c r="F16" s="131"/>
      <c r="G16" s="132"/>
      <c r="H16" s="131"/>
      <c r="I16" s="131"/>
      <c r="J16" s="132"/>
      <c r="K16" s="227"/>
      <c r="L16" s="42"/>
    </row>
    <row r="17" spans="1:12" ht="15.75">
      <c r="A17" s="42"/>
      <c r="B17" s="42"/>
      <c r="C17" s="85"/>
      <c r="D17" s="94"/>
      <c r="E17" s="133">
        <f>E11</f>
        <v>259210000</v>
      </c>
      <c r="F17" s="206" t="s">
        <v>39</v>
      </c>
      <c r="G17" s="447" t="s">
        <v>316</v>
      </c>
      <c r="H17" s="129">
        <f>E17+E20*1000</f>
        <v>477073619.6319018</v>
      </c>
      <c r="I17" s="131" t="s">
        <v>39</v>
      </c>
      <c r="J17" s="552" t="s">
        <v>308</v>
      </c>
      <c r="K17" s="227"/>
      <c r="L17" s="107"/>
    </row>
    <row r="18" spans="1:12" ht="15.75">
      <c r="A18" s="42"/>
      <c r="B18" s="42"/>
      <c r="C18" s="85"/>
      <c r="D18" s="22" t="s">
        <v>35</v>
      </c>
      <c r="E18" s="130"/>
      <c r="F18" s="131"/>
      <c r="G18" s="132"/>
      <c r="H18" s="131"/>
      <c r="I18" s="131"/>
      <c r="J18" s="132"/>
      <c r="K18" s="227"/>
      <c r="L18" s="42"/>
    </row>
    <row r="19" spans="1:12" ht="15.75">
      <c r="A19" s="42"/>
      <c r="B19" s="42"/>
      <c r="C19" s="85"/>
      <c r="D19" s="94"/>
      <c r="E19" s="136">
        <f>(Variables!E33/1000)*$E$17</f>
        <v>77763000</v>
      </c>
      <c r="F19" s="134" t="s">
        <v>45</v>
      </c>
      <c r="G19" s="135" t="s">
        <v>48</v>
      </c>
      <c r="H19" s="134"/>
      <c r="I19" s="134"/>
      <c r="J19" s="135"/>
      <c r="K19" s="227"/>
      <c r="L19" s="42"/>
    </row>
    <row r="20" spans="1:12" ht="15.75">
      <c r="A20" s="42"/>
      <c r="B20" s="42"/>
      <c r="C20" s="85"/>
      <c r="D20" s="94"/>
      <c r="E20" s="136">
        <f>((E11*'Grass Processing'!D8)/'Grass Processing'!E8-E11)/1000</f>
        <v>217863.61963190179</v>
      </c>
      <c r="F20" s="131" t="s">
        <v>46</v>
      </c>
      <c r="G20" s="135" t="s">
        <v>37</v>
      </c>
      <c r="H20" s="134"/>
      <c r="I20" s="131"/>
      <c r="J20" s="135"/>
      <c r="K20" s="227"/>
      <c r="L20" s="385" t="s">
        <v>307</v>
      </c>
    </row>
    <row r="21" spans="1:12" ht="15.75">
      <c r="A21" s="42"/>
      <c r="B21" s="42"/>
      <c r="C21" s="25" t="s">
        <v>53</v>
      </c>
      <c r="D21" s="17"/>
      <c r="E21" s="137"/>
      <c r="F21" s="134"/>
      <c r="G21" s="135"/>
      <c r="H21" s="134"/>
      <c r="I21" s="131"/>
      <c r="J21" s="135"/>
      <c r="K21" s="227"/>
      <c r="L21" s="42"/>
    </row>
    <row r="22" spans="1:12" ht="15.75">
      <c r="A22" s="42"/>
      <c r="B22" s="42"/>
      <c r="C22" s="27"/>
      <c r="D22" s="21" t="s">
        <v>51</v>
      </c>
      <c r="E22" s="137"/>
      <c r="F22" s="134"/>
      <c r="G22" s="135"/>
      <c r="H22" s="134"/>
      <c r="I22" s="134"/>
      <c r="J22" s="135"/>
      <c r="K22" s="426"/>
      <c r="L22" s="42"/>
    </row>
    <row r="23" spans="1:12" ht="18.75">
      <c r="A23" s="42"/>
      <c r="B23" s="42"/>
      <c r="C23" s="25"/>
      <c r="D23" s="94"/>
      <c r="E23" s="133">
        <f>H17</f>
        <v>477073619.6319018</v>
      </c>
      <c r="F23" s="134" t="s">
        <v>39</v>
      </c>
      <c r="G23" s="447" t="s">
        <v>308</v>
      </c>
      <c r="H23" s="129">
        <f>$E$23*K23</f>
        <v>104956196.31901839</v>
      </c>
      <c r="I23" s="134" t="s">
        <v>39</v>
      </c>
      <c r="J23" s="138" t="s">
        <v>170</v>
      </c>
      <c r="K23" s="229">
        <v>0.22</v>
      </c>
      <c r="L23" s="631" t="s">
        <v>372</v>
      </c>
    </row>
    <row r="24" spans="1:12" ht="15.75">
      <c r="A24" s="42"/>
      <c r="B24" s="42"/>
      <c r="C24" s="25"/>
      <c r="D24" s="94"/>
      <c r="E24" s="137"/>
      <c r="F24" s="134"/>
      <c r="G24" s="135"/>
      <c r="H24" s="129">
        <f>$E$23*K24</f>
        <v>372117423.31288344</v>
      </c>
      <c r="I24" s="134" t="s">
        <v>39</v>
      </c>
      <c r="J24" s="135" t="s">
        <v>54</v>
      </c>
      <c r="K24" s="229">
        <f>100%-K23</f>
        <v>0.78</v>
      </c>
      <c r="L24" s="42"/>
    </row>
    <row r="25" spans="1:12" ht="15.75">
      <c r="A25" s="42"/>
      <c r="B25" s="42"/>
      <c r="C25" s="25"/>
      <c r="D25" s="22" t="s">
        <v>35</v>
      </c>
      <c r="E25" s="137"/>
      <c r="F25" s="134"/>
      <c r="G25" s="135"/>
      <c r="H25" s="131"/>
      <c r="I25" s="134"/>
      <c r="J25" s="135"/>
      <c r="K25" s="227"/>
      <c r="L25" s="42"/>
    </row>
    <row r="26" spans="1:12" ht="15.75">
      <c r="A26" s="42"/>
      <c r="B26" s="42"/>
      <c r="C26" s="85"/>
      <c r="D26" s="94"/>
      <c r="E26" s="136">
        <f>(Variables!E36/1000)*$E$23</f>
        <v>2337660.7361963191</v>
      </c>
      <c r="F26" s="134" t="s">
        <v>45</v>
      </c>
      <c r="G26" s="135" t="s">
        <v>48</v>
      </c>
      <c r="H26" s="134"/>
      <c r="I26" s="134"/>
      <c r="J26" s="135"/>
      <c r="K26" s="227"/>
      <c r="L26" s="42"/>
    </row>
    <row r="27" spans="1:12" ht="15.75">
      <c r="A27" s="42"/>
      <c r="B27" s="42"/>
      <c r="C27" s="85"/>
      <c r="D27" s="94"/>
      <c r="E27" s="136">
        <f>(Variables!E37/1000)*$E$23</f>
        <v>0</v>
      </c>
      <c r="F27" s="131" t="s">
        <v>46</v>
      </c>
      <c r="G27" s="135" t="s">
        <v>37</v>
      </c>
      <c r="H27" s="134"/>
      <c r="I27" s="131"/>
      <c r="J27" s="135"/>
      <c r="K27" s="227"/>
      <c r="L27" s="42"/>
    </row>
    <row r="28" spans="1:12" ht="15.75">
      <c r="A28" s="42"/>
      <c r="B28" s="42"/>
      <c r="C28" s="29" t="s">
        <v>131</v>
      </c>
      <c r="D28" s="94"/>
      <c r="E28" s="130"/>
      <c r="F28" s="131"/>
      <c r="G28" s="132"/>
      <c r="H28" s="131"/>
      <c r="I28" s="131"/>
      <c r="J28" s="132"/>
      <c r="K28" s="227"/>
      <c r="L28" s="42"/>
    </row>
    <row r="29" spans="1:12" ht="15.75">
      <c r="A29" s="42"/>
      <c r="B29" s="42"/>
      <c r="C29" s="85"/>
      <c r="D29" s="21" t="s">
        <v>51</v>
      </c>
      <c r="E29" s="130"/>
      <c r="F29" s="131"/>
      <c r="G29" s="132"/>
      <c r="H29" s="131"/>
      <c r="I29" s="131"/>
      <c r="J29" s="132"/>
      <c r="K29" s="227"/>
      <c r="L29" s="42"/>
    </row>
    <row r="30" spans="1:12" ht="15.75">
      <c r="A30" s="42"/>
      <c r="B30" s="42"/>
      <c r="C30" s="29"/>
      <c r="D30" s="94"/>
      <c r="E30" s="139">
        <f>H24</f>
        <v>372117423.31288344</v>
      </c>
      <c r="F30" s="140" t="s">
        <v>39</v>
      </c>
      <c r="G30" s="141" t="s">
        <v>54</v>
      </c>
      <c r="H30" s="142">
        <f>E30</f>
        <v>372117423.31288344</v>
      </c>
      <c r="I30" s="143" t="s">
        <v>39</v>
      </c>
      <c r="J30" s="144" t="s">
        <v>54</v>
      </c>
      <c r="K30" s="227"/>
      <c r="L30" s="42"/>
    </row>
    <row r="31" spans="1:12" ht="15.75">
      <c r="A31" s="42"/>
      <c r="B31" s="42"/>
      <c r="C31" s="29"/>
      <c r="D31" s="22" t="s">
        <v>35</v>
      </c>
      <c r="E31" s="145"/>
      <c r="F31" s="140"/>
      <c r="G31" s="141"/>
      <c r="H31" s="143"/>
      <c r="I31" s="143"/>
      <c r="J31" s="144"/>
      <c r="K31" s="227"/>
      <c r="L31" s="42"/>
    </row>
    <row r="32" spans="1:12" ht="15.75">
      <c r="A32" s="42"/>
      <c r="B32" s="42"/>
      <c r="C32" s="29"/>
      <c r="D32" s="94"/>
      <c r="E32" s="136">
        <f>(Variables!E40/1000)*$E$30</f>
        <v>0</v>
      </c>
      <c r="F32" s="134" t="s">
        <v>45</v>
      </c>
      <c r="G32" s="135" t="s">
        <v>48</v>
      </c>
      <c r="H32" s="134"/>
      <c r="I32" s="134"/>
      <c r="J32" s="135"/>
      <c r="K32" s="228"/>
      <c r="L32" s="42"/>
    </row>
    <row r="33" spans="1:13" ht="15.75">
      <c r="A33" s="42"/>
      <c r="B33" s="42"/>
      <c r="C33" s="29"/>
      <c r="D33" s="94"/>
      <c r="E33" s="136">
        <f>(Variables!E41/1000)*$E$30</f>
        <v>0</v>
      </c>
      <c r="F33" s="131" t="s">
        <v>46</v>
      </c>
      <c r="G33" s="135" t="s">
        <v>37</v>
      </c>
      <c r="H33" s="134"/>
      <c r="I33" s="134"/>
      <c r="J33" s="135"/>
      <c r="K33" s="228"/>
      <c r="L33" s="42"/>
    </row>
    <row r="34" spans="1:13" ht="15.75">
      <c r="A34" s="42"/>
      <c r="B34" s="42"/>
      <c r="C34" s="25" t="s">
        <v>132</v>
      </c>
      <c r="D34" s="17"/>
      <c r="E34" s="145"/>
      <c r="F34" s="134"/>
      <c r="G34" s="135"/>
      <c r="H34" s="134"/>
      <c r="I34" s="134"/>
      <c r="J34" s="135"/>
      <c r="K34" s="228"/>
      <c r="L34" s="42"/>
    </row>
    <row r="35" spans="1:13" ht="15.75">
      <c r="A35" s="42"/>
      <c r="B35" s="42"/>
      <c r="C35" s="27"/>
      <c r="D35" s="21" t="s">
        <v>51</v>
      </c>
      <c r="E35" s="137"/>
      <c r="F35" s="134"/>
      <c r="G35" s="135"/>
      <c r="H35" s="134"/>
      <c r="I35" s="134"/>
      <c r="J35" s="226"/>
      <c r="K35" s="228"/>
      <c r="L35" s="42"/>
    </row>
    <row r="36" spans="1:13" ht="15.75">
      <c r="A36" s="42"/>
      <c r="B36" s="42"/>
      <c r="C36" s="85"/>
      <c r="D36" s="94"/>
      <c r="E36" s="133">
        <f>H30</f>
        <v>372117423.31288344</v>
      </c>
      <c r="F36" s="134" t="s">
        <v>39</v>
      </c>
      <c r="G36" s="135" t="s">
        <v>54</v>
      </c>
      <c r="H36" s="129">
        <f>K36*E36</f>
        <v>11163522.699386504</v>
      </c>
      <c r="I36" s="134" t="s">
        <v>39</v>
      </c>
      <c r="J36" s="138" t="s">
        <v>137</v>
      </c>
      <c r="K36" s="230">
        <v>0.03</v>
      </c>
      <c r="L36" s="42"/>
      <c r="M36" s="561"/>
    </row>
    <row r="37" spans="1:13" ht="18" customHeight="1">
      <c r="A37" s="42"/>
      <c r="B37" s="42"/>
      <c r="C37" s="25"/>
      <c r="D37" s="94"/>
      <c r="E37" s="137"/>
      <c r="F37" s="134"/>
      <c r="G37" s="135"/>
      <c r="H37" s="129">
        <f>E36-H36</f>
        <v>360953900.61349696</v>
      </c>
      <c r="I37" s="134" t="s">
        <v>39</v>
      </c>
      <c r="J37" s="225" t="s">
        <v>54</v>
      </c>
      <c r="K37" s="230">
        <f>100%-K36</f>
        <v>0.97</v>
      </c>
      <c r="L37" s="42"/>
      <c r="M37" s="561"/>
    </row>
    <row r="38" spans="1:13" ht="15.75">
      <c r="A38" s="42"/>
      <c r="B38" s="42"/>
      <c r="C38" s="25"/>
      <c r="D38" s="22" t="s">
        <v>35</v>
      </c>
      <c r="E38" s="137"/>
      <c r="F38" s="134"/>
      <c r="G38" s="135"/>
      <c r="H38" s="134"/>
      <c r="I38" s="134"/>
      <c r="J38" s="135"/>
      <c r="K38" s="227"/>
      <c r="L38" s="42"/>
      <c r="M38" s="561"/>
    </row>
    <row r="39" spans="1:13" ht="15.75">
      <c r="A39" s="42"/>
      <c r="B39" s="42"/>
      <c r="C39" s="25"/>
      <c r="D39" s="94"/>
      <c r="E39" s="136">
        <f>(Variables!E44/1000)*$E$36</f>
        <v>383280.94601227</v>
      </c>
      <c r="F39" s="134" t="s">
        <v>45</v>
      </c>
      <c r="G39" s="135" t="s">
        <v>48</v>
      </c>
      <c r="H39" s="134"/>
      <c r="I39" s="134"/>
      <c r="J39" s="135"/>
      <c r="K39" s="227"/>
      <c r="L39" s="42"/>
    </row>
    <row r="40" spans="1:13" ht="15.75">
      <c r="A40" s="42"/>
      <c r="B40" s="42"/>
      <c r="C40" s="25"/>
      <c r="D40" s="94"/>
      <c r="E40" s="136">
        <f>(Variables!E45/1000)*$E$36</f>
        <v>0</v>
      </c>
      <c r="F40" s="131" t="s">
        <v>46</v>
      </c>
      <c r="G40" s="135" t="s">
        <v>37</v>
      </c>
      <c r="H40" s="134"/>
      <c r="I40" s="134"/>
      <c r="J40" s="135"/>
      <c r="K40" s="227"/>
      <c r="L40" s="42"/>
      <c r="M40" s="295"/>
    </row>
    <row r="41" spans="1:13" ht="15.75">
      <c r="A41" s="42"/>
      <c r="B41" s="42"/>
      <c r="C41" s="25"/>
      <c r="D41" s="22"/>
      <c r="E41" s="137"/>
      <c r="F41" s="134"/>
      <c r="G41" s="135"/>
      <c r="H41" s="134"/>
      <c r="I41" s="134"/>
      <c r="J41" s="135"/>
      <c r="K41" s="227"/>
      <c r="L41" s="42"/>
    </row>
    <row r="42" spans="1:13" ht="15.75">
      <c r="A42" s="42"/>
      <c r="B42" s="42"/>
      <c r="C42" s="29" t="s">
        <v>133</v>
      </c>
      <c r="D42" s="94"/>
      <c r="E42" s="130"/>
      <c r="F42" s="131"/>
      <c r="G42" s="132"/>
      <c r="H42" s="131"/>
      <c r="I42" s="131"/>
      <c r="J42" s="132"/>
      <c r="K42" s="227"/>
      <c r="L42" s="42"/>
    </row>
    <row r="43" spans="1:13" ht="15.75">
      <c r="A43" s="42"/>
      <c r="B43" s="42"/>
      <c r="C43" s="85"/>
      <c r="D43" s="21" t="s">
        <v>51</v>
      </c>
      <c r="E43" s="130"/>
      <c r="F43" s="131"/>
      <c r="G43" s="132"/>
      <c r="H43" s="131"/>
      <c r="I43" s="131"/>
      <c r="J43" s="132"/>
      <c r="K43" s="227"/>
      <c r="L43" s="42"/>
    </row>
    <row r="44" spans="1:13" ht="15.75">
      <c r="A44" s="42"/>
      <c r="B44" s="42"/>
      <c r="C44" s="29"/>
      <c r="D44" s="94"/>
      <c r="E44" s="139">
        <f>H37</f>
        <v>360953900.61349696</v>
      </c>
      <c r="F44" s="140" t="s">
        <v>39</v>
      </c>
      <c r="G44" s="141" t="s">
        <v>54</v>
      </c>
      <c r="H44" s="142">
        <f>E44</f>
        <v>360953900.61349696</v>
      </c>
      <c r="I44" s="143" t="s">
        <v>39</v>
      </c>
      <c r="J44" s="144" t="s">
        <v>54</v>
      </c>
      <c r="K44" s="227"/>
      <c r="L44" s="42"/>
    </row>
    <row r="45" spans="1:13" ht="15.75">
      <c r="A45" s="42"/>
      <c r="B45" s="42"/>
      <c r="C45" s="29"/>
      <c r="D45" s="22" t="s">
        <v>35</v>
      </c>
      <c r="E45" s="145"/>
      <c r="F45" s="140"/>
      <c r="G45" s="141"/>
      <c r="H45" s="143"/>
      <c r="I45" s="143"/>
      <c r="J45" s="144"/>
      <c r="K45" s="227"/>
      <c r="L45" s="42"/>
    </row>
    <row r="46" spans="1:13" ht="15.75">
      <c r="A46" s="42"/>
      <c r="B46" s="42"/>
      <c r="C46" s="29"/>
      <c r="D46" s="94"/>
      <c r="E46" s="136">
        <f>(Variables!E48/1000)*$E$44</f>
        <v>0</v>
      </c>
      <c r="F46" s="134" t="s">
        <v>45</v>
      </c>
      <c r="G46" s="135" t="s">
        <v>48</v>
      </c>
      <c r="H46" s="134"/>
      <c r="I46" s="134"/>
      <c r="J46" s="135"/>
      <c r="K46" s="228"/>
      <c r="L46" s="42"/>
    </row>
    <row r="47" spans="1:13" ht="15.75">
      <c r="A47" s="42"/>
      <c r="B47" s="42"/>
      <c r="C47" s="29"/>
      <c r="D47" s="94"/>
      <c r="E47" s="136">
        <f>(Variables!E49/1000)*$E$44</f>
        <v>0</v>
      </c>
      <c r="F47" s="131" t="s">
        <v>46</v>
      </c>
      <c r="G47" s="135" t="s">
        <v>37</v>
      </c>
      <c r="H47" s="134"/>
      <c r="I47" s="134"/>
      <c r="J47" s="135"/>
      <c r="K47" s="228"/>
      <c r="L47" s="112"/>
      <c r="M47" s="300"/>
    </row>
    <row r="48" spans="1:13" ht="15.75">
      <c r="A48" s="42"/>
      <c r="B48" s="42"/>
      <c r="C48" s="25" t="s">
        <v>134</v>
      </c>
      <c r="D48" s="17"/>
      <c r="E48" s="145"/>
      <c r="F48" s="134"/>
      <c r="G48" s="135"/>
      <c r="H48" s="134"/>
      <c r="I48" s="134"/>
      <c r="J48" s="135"/>
      <c r="K48" s="228"/>
      <c r="L48" s="299"/>
      <c r="M48" s="134"/>
    </row>
    <row r="49" spans="1:13" ht="15.75">
      <c r="A49" s="42"/>
      <c r="B49" s="42"/>
      <c r="C49" s="27"/>
      <c r="D49" s="21" t="s">
        <v>51</v>
      </c>
      <c r="E49" s="137"/>
      <c r="F49" s="134"/>
      <c r="G49" s="135"/>
      <c r="H49" s="134"/>
      <c r="I49" s="134"/>
      <c r="J49" s="135"/>
      <c r="K49" s="629">
        <v>0.45</v>
      </c>
      <c r="L49" s="627" t="s">
        <v>364</v>
      </c>
      <c r="M49" s="107"/>
    </row>
    <row r="50" spans="1:13" ht="18.75">
      <c r="A50" s="42"/>
      <c r="B50" s="42"/>
      <c r="C50" s="85"/>
      <c r="D50" s="94"/>
      <c r="E50" s="133">
        <f>H44</f>
        <v>360953900.61349696</v>
      </c>
      <c r="F50" s="134" t="s">
        <v>39</v>
      </c>
      <c r="G50" s="135" t="s">
        <v>54</v>
      </c>
      <c r="H50" s="129">
        <f>E10*0.173*K49/0.2</f>
        <v>30269247.749999993</v>
      </c>
      <c r="I50" s="134" t="s">
        <v>39</v>
      </c>
      <c r="J50" s="146" t="s">
        <v>143</v>
      </c>
      <c r="K50" s="628"/>
      <c r="L50" s="8" t="s">
        <v>373</v>
      </c>
      <c r="M50" s="628"/>
    </row>
    <row r="51" spans="1:13" ht="18" customHeight="1">
      <c r="A51" s="42"/>
      <c r="B51" s="42"/>
      <c r="C51" s="25"/>
      <c r="D51" s="94"/>
      <c r="E51" s="137"/>
      <c r="F51" s="134"/>
      <c r="G51" s="135"/>
      <c r="H51" s="129">
        <f>E50-H50</f>
        <v>330684652.86349696</v>
      </c>
      <c r="I51" s="134" t="s">
        <v>39</v>
      </c>
      <c r="J51" s="298" t="s">
        <v>54</v>
      </c>
      <c r="K51" s="628"/>
      <c r="L51" s="628"/>
      <c r="M51" s="628"/>
    </row>
    <row r="52" spans="1:13" ht="15.75">
      <c r="A52" s="42"/>
      <c r="B52" s="42"/>
      <c r="C52" s="25"/>
      <c r="D52" s="22" t="s">
        <v>35</v>
      </c>
      <c r="E52" s="137"/>
      <c r="F52" s="134"/>
      <c r="G52" s="135"/>
      <c r="H52" s="134"/>
      <c r="I52" s="134"/>
      <c r="J52" s="135"/>
      <c r="K52" s="227"/>
      <c r="L52" s="42"/>
    </row>
    <row r="53" spans="1:13" ht="15.75">
      <c r="A53" s="42"/>
      <c r="B53" s="42"/>
      <c r="C53" s="25"/>
      <c r="D53" s="94"/>
      <c r="E53" s="136">
        <f>(Variables!E52/1000)*$E$50</f>
        <v>371782.51763190189</v>
      </c>
      <c r="F53" s="134" t="s">
        <v>45</v>
      </c>
      <c r="G53" s="135" t="s">
        <v>48</v>
      </c>
      <c r="H53" s="134"/>
      <c r="I53" s="134"/>
      <c r="J53" s="135"/>
      <c r="K53" s="227"/>
      <c r="L53" s="42"/>
    </row>
    <row r="54" spans="1:13" ht="15.75">
      <c r="A54" s="42"/>
      <c r="B54" s="42"/>
      <c r="C54" s="25"/>
      <c r="D54" s="94"/>
      <c r="E54" s="136">
        <f>(Variables!E53/1000)*$E$50</f>
        <v>0</v>
      </c>
      <c r="F54" s="131" t="s">
        <v>46</v>
      </c>
      <c r="G54" s="135" t="s">
        <v>37</v>
      </c>
      <c r="H54" s="134"/>
      <c r="I54" s="134"/>
      <c r="J54" s="135"/>
      <c r="K54" s="227"/>
      <c r="L54" s="42"/>
    </row>
    <row r="55" spans="1:13" ht="15.75">
      <c r="A55" s="42"/>
      <c r="B55" s="42"/>
      <c r="C55" s="25"/>
      <c r="D55" s="22"/>
      <c r="E55" s="137"/>
      <c r="F55" s="134"/>
      <c r="G55" s="135"/>
      <c r="H55" s="134"/>
      <c r="I55" s="134"/>
      <c r="J55" s="135"/>
      <c r="K55" s="227"/>
      <c r="L55" s="42"/>
    </row>
    <row r="56" spans="1:13" ht="15.75">
      <c r="A56" s="42"/>
      <c r="B56" s="42"/>
      <c r="C56" s="29" t="s">
        <v>135</v>
      </c>
      <c r="D56" s="17"/>
      <c r="E56" s="137"/>
      <c r="F56" s="134"/>
      <c r="G56" s="135"/>
      <c r="H56" s="134"/>
      <c r="I56" s="134"/>
      <c r="J56" s="135"/>
      <c r="K56" s="227"/>
      <c r="L56" s="42"/>
    </row>
    <row r="57" spans="1:13" ht="15.75">
      <c r="A57" s="42"/>
      <c r="B57" s="42"/>
      <c r="C57" s="85"/>
      <c r="D57" s="21" t="s">
        <v>51</v>
      </c>
      <c r="E57" s="137"/>
      <c r="F57" s="134"/>
      <c r="G57" s="135"/>
      <c r="I57" s="134"/>
      <c r="J57" s="135"/>
      <c r="K57" s="227"/>
      <c r="L57" s="42"/>
    </row>
    <row r="58" spans="1:13" ht="14.1" customHeight="1">
      <c r="A58" s="42"/>
      <c r="B58" s="42"/>
      <c r="C58" s="29"/>
      <c r="D58" s="94"/>
      <c r="E58" s="139">
        <f>H51</f>
        <v>330684652.86349696</v>
      </c>
      <c r="F58" s="140" t="s">
        <v>39</v>
      </c>
      <c r="G58" s="141" t="s">
        <v>54</v>
      </c>
      <c r="H58" s="296">
        <f>K58*E58</f>
        <v>69443.777101334359</v>
      </c>
      <c r="I58" s="140" t="s">
        <v>39</v>
      </c>
      <c r="J58" s="138" t="s">
        <v>57</v>
      </c>
      <c r="K58" s="305">
        <v>2.1000000000000001E-4</v>
      </c>
      <c r="L58" s="107"/>
    </row>
    <row r="59" spans="1:13" ht="15.75">
      <c r="A59" s="42"/>
      <c r="B59" s="42"/>
      <c r="C59" s="18"/>
      <c r="D59" s="94"/>
      <c r="E59" s="145"/>
      <c r="F59" s="140"/>
      <c r="G59" s="141"/>
      <c r="H59" s="296">
        <f>E58-H58</f>
        <v>330615209.08639562</v>
      </c>
      <c r="I59" s="140" t="s">
        <v>39</v>
      </c>
      <c r="J59" s="138" t="s">
        <v>58</v>
      </c>
      <c r="K59" s="306">
        <f>100%-K58</f>
        <v>0.99978999999999996</v>
      </c>
      <c r="L59" s="42"/>
    </row>
    <row r="60" spans="1:13" ht="15.75">
      <c r="A60" s="42"/>
      <c r="B60" s="42"/>
      <c r="C60" s="18"/>
      <c r="D60" s="23" t="s">
        <v>35</v>
      </c>
      <c r="E60" s="145"/>
      <c r="F60" s="140"/>
      <c r="G60" s="141"/>
      <c r="H60" s="140"/>
      <c r="I60" s="140"/>
      <c r="J60" s="141"/>
      <c r="K60" s="227"/>
      <c r="L60" s="42"/>
    </row>
    <row r="61" spans="1:13" ht="15.75">
      <c r="A61" s="42"/>
      <c r="B61" s="42"/>
      <c r="C61" s="18"/>
      <c r="D61" s="94"/>
      <c r="E61" s="147">
        <f>(Variables!E56/1000)*$E$58</f>
        <v>330684.65286349697</v>
      </c>
      <c r="F61" s="140" t="s">
        <v>45</v>
      </c>
      <c r="G61" s="141" t="s">
        <v>48</v>
      </c>
      <c r="H61" s="134"/>
      <c r="I61" s="134"/>
      <c r="J61" s="135"/>
      <c r="K61" s="227"/>
      <c r="L61" s="42"/>
    </row>
    <row r="62" spans="1:13" ht="15.75">
      <c r="A62" s="42"/>
      <c r="B62" s="42"/>
      <c r="C62" s="18"/>
      <c r="D62" s="12"/>
      <c r="E62" s="147">
        <f>(Variables!E57/1000)*$E$58</f>
        <v>0</v>
      </c>
      <c r="F62" s="140" t="s">
        <v>46</v>
      </c>
      <c r="G62" s="148" t="s">
        <v>37</v>
      </c>
      <c r="H62" s="134"/>
      <c r="I62" s="134"/>
      <c r="J62" s="135"/>
      <c r="K62" s="227"/>
      <c r="L62" s="42"/>
    </row>
    <row r="63" spans="1:13" ht="15.75">
      <c r="A63" s="42"/>
      <c r="B63" s="42"/>
      <c r="C63" s="18"/>
      <c r="D63" s="12"/>
      <c r="E63" s="553">
        <f>0.045*$E$11/1000</f>
        <v>11664.45</v>
      </c>
      <c r="F63" s="302" t="s">
        <v>39</v>
      </c>
      <c r="G63" s="303" t="s">
        <v>193</v>
      </c>
      <c r="H63" s="134"/>
      <c r="I63" s="134"/>
      <c r="J63" s="135"/>
      <c r="K63" s="227"/>
      <c r="L63" s="107"/>
    </row>
    <row r="64" spans="1:13" ht="14.1" customHeight="1">
      <c r="A64" s="42"/>
      <c r="B64" s="42"/>
      <c r="C64" s="94"/>
      <c r="D64" s="85"/>
      <c r="E64" s="553">
        <f>2*E63</f>
        <v>23328.9</v>
      </c>
      <c r="F64" s="302" t="s">
        <v>39</v>
      </c>
      <c r="G64" s="304" t="s">
        <v>335</v>
      </c>
      <c r="H64" s="137"/>
      <c r="I64" s="134"/>
      <c r="J64" s="135"/>
      <c r="K64" s="227"/>
      <c r="L64" s="341" t="s">
        <v>346</v>
      </c>
    </row>
    <row r="65" spans="1:12" ht="15.75">
      <c r="A65" s="42"/>
      <c r="B65" s="42"/>
      <c r="C65" s="17" t="s">
        <v>97</v>
      </c>
      <c r="D65" s="85"/>
      <c r="E65" s="137"/>
      <c r="F65" s="134"/>
      <c r="G65" s="134"/>
      <c r="H65" s="137"/>
      <c r="I65" s="134"/>
      <c r="J65" s="135"/>
      <c r="K65" s="227"/>
      <c r="L65" s="42"/>
    </row>
    <row r="66" spans="1:12" ht="15.75">
      <c r="A66" s="42"/>
      <c r="B66" s="42"/>
      <c r="C66" s="17"/>
      <c r="D66" s="27" t="s">
        <v>35</v>
      </c>
      <c r="E66" s="137"/>
      <c r="F66" s="134"/>
      <c r="G66" s="134"/>
      <c r="H66" s="137"/>
      <c r="I66" s="134"/>
      <c r="J66" s="135"/>
      <c r="K66" s="227"/>
      <c r="L66" s="42"/>
    </row>
    <row r="67" spans="1:12" ht="15.75">
      <c r="A67" s="42"/>
      <c r="B67" s="42"/>
      <c r="C67" s="47"/>
      <c r="D67" s="95"/>
      <c r="E67" s="150">
        <f>'Grass Processing'!E21</f>
        <v>8</v>
      </c>
      <c r="F67" s="151" t="s">
        <v>98</v>
      </c>
      <c r="G67" s="151" t="s">
        <v>23</v>
      </c>
      <c r="H67" s="152"/>
      <c r="I67" s="151"/>
      <c r="J67" s="153"/>
      <c r="K67" s="227"/>
      <c r="L67" s="42"/>
    </row>
    <row r="68" spans="1:12" ht="15.75">
      <c r="A68" s="42"/>
      <c r="B68" s="42"/>
      <c r="C68" s="48"/>
      <c r="D68" s="42"/>
      <c r="E68" s="42"/>
      <c r="F68" s="42"/>
      <c r="G68" s="42"/>
      <c r="H68" s="42"/>
      <c r="I68" s="42"/>
      <c r="J68" s="42"/>
      <c r="K68" s="42"/>
      <c r="L68" s="42"/>
    </row>
    <row r="69" spans="1:12" ht="15.75">
      <c r="A69" s="42"/>
      <c r="B69" s="42"/>
      <c r="C69" s="48"/>
      <c r="D69" s="42"/>
      <c r="E69" s="42"/>
      <c r="F69" s="42"/>
      <c r="G69" s="42"/>
      <c r="H69" s="42"/>
      <c r="I69" s="42"/>
      <c r="J69" s="42"/>
      <c r="K69" s="42"/>
      <c r="L69" s="42"/>
    </row>
    <row r="70" spans="1:12" ht="15.75">
      <c r="A70" s="42"/>
      <c r="B70" s="42"/>
      <c r="K70" s="42"/>
      <c r="L70" s="42"/>
    </row>
    <row r="71" spans="1:12" ht="15.75">
      <c r="K71" s="15"/>
    </row>
    <row r="72" spans="1:12" ht="15.75">
      <c r="K72" s="15"/>
    </row>
    <row r="73" spans="1:12" ht="15.75">
      <c r="K73" s="15"/>
    </row>
    <row r="74" spans="1:12" ht="15.75">
      <c r="D74" s="15"/>
      <c r="E74" s="15"/>
      <c r="F74" s="15"/>
      <c r="G74" s="15"/>
      <c r="H74" s="15"/>
      <c r="I74" s="15"/>
      <c r="J74" s="15"/>
      <c r="K74" s="1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FF00"/>
  </sheetPr>
  <dimension ref="B1:AC177"/>
  <sheetViews>
    <sheetView workbookViewId="0"/>
  </sheetViews>
  <sheetFormatPr defaultColWidth="11.42578125" defaultRowHeight="15"/>
  <cols>
    <col min="1" max="1" width="2.140625" customWidth="1"/>
    <col min="2" max="2" width="3.42578125" customWidth="1"/>
    <col min="3" max="3" width="21" customWidth="1"/>
    <col min="4" max="4" width="28.140625" customWidth="1"/>
    <col min="5" max="5" width="8.28515625" customWidth="1"/>
    <col min="6" max="6" width="15.42578125" bestFit="1" customWidth="1"/>
    <col min="7" max="7" width="15" customWidth="1"/>
    <col min="8" max="8" width="19.85546875" customWidth="1"/>
    <col min="9" max="9" width="23.42578125" customWidth="1"/>
    <col min="10" max="10" width="12.28515625" customWidth="1"/>
    <col min="11" max="11" width="44.7109375" customWidth="1"/>
    <col min="12" max="12" width="4.7109375" customWidth="1"/>
    <col min="14" max="14" width="12.140625" customWidth="1"/>
    <col min="15" max="15" width="20.28515625" customWidth="1"/>
    <col min="16" max="16" width="18.7109375" customWidth="1"/>
  </cols>
  <sheetData>
    <row r="1" spans="2:29">
      <c r="C1" s="20"/>
      <c r="D1" s="20"/>
    </row>
    <row r="2" spans="2:29" ht="20.100000000000001" customHeight="1">
      <c r="C2" s="3"/>
      <c r="D2" s="6"/>
      <c r="J2" s="80"/>
      <c r="K2" s="10" t="s">
        <v>43</v>
      </c>
    </row>
    <row r="3" spans="2:29" ht="21">
      <c r="C3" s="7" t="s">
        <v>29</v>
      </c>
      <c r="D3" s="6"/>
      <c r="E3" s="2"/>
      <c r="J3" s="57"/>
      <c r="K3" s="36" t="s">
        <v>106</v>
      </c>
    </row>
    <row r="4" spans="2:29" ht="15.75">
      <c r="C4" s="8" t="s">
        <v>309</v>
      </c>
      <c r="D4" s="6"/>
      <c r="E4" s="2"/>
    </row>
    <row r="5" spans="2:29">
      <c r="C5" s="6"/>
      <c r="D5" s="6"/>
      <c r="E5" s="2"/>
    </row>
    <row r="6" spans="2:29">
      <c r="B6" s="2"/>
      <c r="C6" s="52"/>
      <c r="D6" s="52"/>
      <c r="E6" s="2"/>
      <c r="F6" s="2"/>
      <c r="G6" s="2"/>
      <c r="H6" s="2"/>
      <c r="I6" s="2"/>
      <c r="J6" s="2"/>
      <c r="K6" s="2"/>
      <c r="R6" s="2"/>
      <c r="S6" s="2"/>
      <c r="T6" s="2"/>
      <c r="U6" s="2"/>
      <c r="V6" s="2"/>
      <c r="W6" s="2"/>
      <c r="X6" s="2"/>
      <c r="Y6" s="2"/>
      <c r="Z6" s="2"/>
      <c r="AA6" s="2"/>
      <c r="AB6" s="2"/>
      <c r="AC6" s="2"/>
    </row>
    <row r="7" spans="2:29" ht="15.75">
      <c r="B7" s="2"/>
      <c r="C7" s="2"/>
      <c r="D7" s="2"/>
      <c r="E7" s="4"/>
      <c r="F7" s="654" t="s">
        <v>0</v>
      </c>
      <c r="G7" s="655"/>
      <c r="H7" s="656"/>
      <c r="I7" s="53" t="s">
        <v>3</v>
      </c>
      <c r="J7" s="2"/>
      <c r="K7" s="79" t="s">
        <v>33</v>
      </c>
      <c r="R7" s="80"/>
      <c r="S7" s="80"/>
      <c r="T7" s="2"/>
      <c r="U7" s="2"/>
      <c r="V7" s="2"/>
      <c r="W7" s="2"/>
      <c r="X7" s="2"/>
      <c r="Y7" s="2"/>
      <c r="Z7" s="2"/>
      <c r="AA7" s="2"/>
      <c r="AB7" s="2"/>
      <c r="AC7" s="2"/>
    </row>
    <row r="8" spans="2:29" ht="31.5">
      <c r="B8" s="2"/>
      <c r="C8" s="54" t="s">
        <v>44</v>
      </c>
      <c r="D8" s="53" t="s">
        <v>25</v>
      </c>
      <c r="E8" s="55" t="s">
        <v>61</v>
      </c>
      <c r="F8" s="53" t="s">
        <v>27</v>
      </c>
      <c r="G8" s="56" t="s">
        <v>65</v>
      </c>
      <c r="H8" s="53" t="s">
        <v>166</v>
      </c>
      <c r="I8" s="53" t="s">
        <v>3</v>
      </c>
      <c r="J8" s="57"/>
      <c r="K8" s="57"/>
      <c r="R8" s="57"/>
      <c r="S8" s="81"/>
      <c r="T8" s="2"/>
      <c r="U8" s="2"/>
      <c r="V8" s="2"/>
      <c r="W8" s="2"/>
      <c r="X8" s="2"/>
      <c r="Y8" s="2"/>
      <c r="Z8" s="2"/>
      <c r="AA8" s="2"/>
      <c r="AB8" s="2"/>
      <c r="AC8" s="2"/>
    </row>
    <row r="9" spans="2:29" ht="47.25">
      <c r="B9" s="2"/>
      <c r="C9" s="58"/>
      <c r="D9" s="59"/>
      <c r="E9" s="60" t="s">
        <v>62</v>
      </c>
      <c r="F9" s="61" t="s">
        <v>284</v>
      </c>
      <c r="G9" s="61" t="s">
        <v>64</v>
      </c>
      <c r="H9" s="61" t="s">
        <v>68</v>
      </c>
      <c r="I9" s="61" t="s">
        <v>64</v>
      </c>
      <c r="J9" s="57"/>
      <c r="K9" s="82" t="s">
        <v>282</v>
      </c>
      <c r="R9" s="2"/>
      <c r="S9" s="2"/>
      <c r="T9" s="2"/>
      <c r="U9" s="2"/>
      <c r="V9" s="2"/>
      <c r="W9" s="2"/>
      <c r="X9" s="2"/>
      <c r="Y9" s="2"/>
      <c r="Z9" s="2"/>
      <c r="AA9" s="2"/>
      <c r="AB9" s="2"/>
      <c r="AC9" s="2"/>
    </row>
    <row r="10" spans="2:29" ht="15.75">
      <c r="B10" s="2"/>
      <c r="C10" s="63" t="s">
        <v>52</v>
      </c>
      <c r="D10" s="63"/>
      <c r="E10" s="64">
        <v>1</v>
      </c>
      <c r="F10" s="53"/>
      <c r="G10" s="53"/>
      <c r="H10" s="53"/>
      <c r="I10" s="65"/>
      <c r="J10" s="57"/>
      <c r="K10" s="57"/>
      <c r="L10" s="2"/>
      <c r="M10" s="2"/>
      <c r="N10" s="2"/>
      <c r="O10" s="2"/>
      <c r="P10" s="2"/>
      <c r="Q10" s="2"/>
      <c r="R10" s="2"/>
      <c r="S10" s="2"/>
      <c r="T10" s="2"/>
      <c r="U10" s="2"/>
      <c r="V10" s="2"/>
      <c r="W10" s="2"/>
      <c r="X10" s="2"/>
      <c r="Y10" s="2"/>
      <c r="Z10" s="2"/>
      <c r="AA10" s="2"/>
      <c r="AB10" s="2"/>
      <c r="AC10" s="2"/>
    </row>
    <row r="11" spans="2:29" ht="15.75">
      <c r="B11" s="2"/>
      <c r="C11" s="66"/>
      <c r="D11" s="67" t="s">
        <v>63</v>
      </c>
      <c r="E11" s="68"/>
      <c r="F11" s="69">
        <f>Variables!E32*E10</f>
        <v>200000</v>
      </c>
      <c r="G11" s="69"/>
      <c r="H11" s="70"/>
      <c r="I11" s="70"/>
      <c r="J11" s="57"/>
      <c r="K11" s="57"/>
      <c r="L11" s="2"/>
      <c r="M11" s="2"/>
      <c r="N11" s="2"/>
      <c r="O11" s="2"/>
      <c r="P11" s="2"/>
      <c r="Q11" s="2"/>
      <c r="R11" s="2"/>
      <c r="S11" s="2"/>
      <c r="T11" s="2"/>
      <c r="U11" s="2"/>
      <c r="V11" s="2"/>
      <c r="W11" s="2"/>
      <c r="X11" s="2"/>
      <c r="Y11" s="2"/>
      <c r="Z11" s="2"/>
      <c r="AA11" s="2"/>
      <c r="AB11" s="2"/>
      <c r="AC11" s="2"/>
    </row>
    <row r="12" spans="2:29" ht="15.75">
      <c r="B12" s="2"/>
      <c r="C12" s="71"/>
      <c r="D12" s="68" t="s">
        <v>30</v>
      </c>
      <c r="E12" s="68"/>
      <c r="F12" s="69"/>
      <c r="G12" s="69">
        <f>Variables!E34*F11*E10</f>
        <v>28000.000000000004</v>
      </c>
      <c r="H12" s="69"/>
      <c r="I12" s="70"/>
      <c r="J12" s="57"/>
      <c r="K12" s="57"/>
      <c r="L12" s="2"/>
      <c r="M12" s="2"/>
      <c r="N12" s="2"/>
      <c r="O12" s="2"/>
      <c r="P12" s="2"/>
      <c r="Q12" s="2"/>
      <c r="R12" s="2"/>
      <c r="S12" s="2"/>
      <c r="T12" s="2"/>
      <c r="U12" s="2"/>
      <c r="V12" s="2"/>
      <c r="W12" s="2"/>
      <c r="X12" s="2"/>
      <c r="Y12" s="2"/>
      <c r="Z12" s="2"/>
      <c r="AA12" s="2"/>
      <c r="AB12" s="2"/>
      <c r="AC12" s="2"/>
    </row>
    <row r="13" spans="2:29" ht="15.75">
      <c r="B13" s="2"/>
      <c r="C13" s="71"/>
      <c r="D13" s="68" t="s">
        <v>21</v>
      </c>
      <c r="E13" s="68"/>
      <c r="F13" s="69"/>
      <c r="G13" s="69"/>
      <c r="H13" s="69">
        <f>$E$10*Variables!E98*'2.Machine Processing'!E19</f>
        <v>9331560</v>
      </c>
      <c r="I13" s="70"/>
      <c r="J13" s="57"/>
      <c r="K13" s="57"/>
      <c r="L13" s="2"/>
      <c r="M13" s="2"/>
      <c r="N13" s="2"/>
      <c r="O13" s="2"/>
      <c r="P13" s="2"/>
      <c r="Q13" s="2"/>
      <c r="R13" s="2"/>
      <c r="S13" s="2"/>
      <c r="T13" s="2"/>
      <c r="U13" s="2"/>
      <c r="V13" s="2"/>
      <c r="W13" s="2"/>
      <c r="X13" s="2"/>
      <c r="Y13" s="2"/>
      <c r="Z13" s="2"/>
      <c r="AA13" s="2"/>
      <c r="AB13" s="2"/>
      <c r="AC13" s="2"/>
    </row>
    <row r="14" spans="2:29" ht="15.75">
      <c r="B14" s="2"/>
      <c r="C14" s="71"/>
      <c r="D14" s="68" t="s">
        <v>22</v>
      </c>
      <c r="E14" s="68"/>
      <c r="F14" s="69"/>
      <c r="G14" s="69"/>
      <c r="H14" s="69">
        <f>$E$10*Variables!E99*'2.Machine Processing'!E20</f>
        <v>237471.34539877297</v>
      </c>
      <c r="I14" s="70"/>
      <c r="J14" s="57"/>
      <c r="K14" s="57"/>
      <c r="L14" s="2"/>
      <c r="M14" s="2"/>
      <c r="N14" s="2"/>
      <c r="O14" s="2"/>
      <c r="P14" s="2"/>
      <c r="Q14" s="2"/>
      <c r="R14" s="2"/>
      <c r="S14" s="2"/>
      <c r="T14" s="2"/>
      <c r="U14" s="2"/>
      <c r="V14" s="2"/>
      <c r="W14" s="2"/>
      <c r="X14" s="2"/>
      <c r="Y14" s="2"/>
      <c r="Z14" s="2"/>
      <c r="AA14" s="2"/>
      <c r="AB14" s="2"/>
      <c r="AC14" s="2"/>
    </row>
    <row r="15" spans="2:29" ht="15.75">
      <c r="B15" s="2"/>
      <c r="C15" s="71"/>
      <c r="D15" s="68" t="s">
        <v>1</v>
      </c>
      <c r="E15" s="68"/>
      <c r="F15" s="69"/>
      <c r="G15" s="69"/>
      <c r="H15" s="69">
        <f>E10*'2.Machine Processing'!E10*Variables!E9</f>
        <v>19440750</v>
      </c>
      <c r="I15" s="70"/>
      <c r="J15" s="57"/>
      <c r="K15" s="128"/>
      <c r="L15" s="2"/>
      <c r="M15" s="2"/>
      <c r="N15" s="2"/>
      <c r="O15" s="2"/>
      <c r="P15" s="2"/>
      <c r="Q15" s="2"/>
      <c r="R15" s="2"/>
      <c r="S15" s="2"/>
      <c r="T15" s="2"/>
      <c r="U15" s="2"/>
      <c r="V15" s="2"/>
      <c r="W15" s="2"/>
      <c r="X15" s="2"/>
      <c r="Y15" s="2"/>
      <c r="Z15" s="2"/>
      <c r="AA15" s="2"/>
      <c r="AB15" s="2"/>
      <c r="AC15" s="2"/>
    </row>
    <row r="16" spans="2:29" ht="15.75">
      <c r="B16" s="2"/>
      <c r="C16" s="71"/>
      <c r="D16" s="68" t="s">
        <v>308</v>
      </c>
      <c r="E16" s="68"/>
      <c r="F16" s="69"/>
      <c r="G16" s="69"/>
      <c r="H16" s="69"/>
      <c r="I16" s="70"/>
      <c r="J16" s="57"/>
      <c r="K16" s="128"/>
      <c r="L16" s="2"/>
      <c r="M16" s="2"/>
      <c r="N16" s="2"/>
      <c r="O16" s="2"/>
      <c r="P16" s="2"/>
      <c r="Q16" s="2"/>
      <c r="R16" s="2"/>
      <c r="S16" s="2"/>
      <c r="T16" s="2"/>
      <c r="U16" s="2"/>
      <c r="V16" s="2"/>
      <c r="W16" s="2"/>
      <c r="X16" s="2"/>
      <c r="Y16" s="2"/>
      <c r="Z16" s="2"/>
      <c r="AA16" s="2"/>
      <c r="AB16" s="2"/>
      <c r="AC16" s="2"/>
    </row>
    <row r="17" spans="2:29" ht="15.75">
      <c r="B17" s="2"/>
      <c r="C17" s="72" t="s">
        <v>53</v>
      </c>
      <c r="D17" s="72"/>
      <c r="E17" s="68">
        <v>1</v>
      </c>
      <c r="F17" s="69"/>
      <c r="G17" s="69"/>
      <c r="H17" s="69"/>
      <c r="I17" s="70"/>
      <c r="J17" s="57"/>
      <c r="K17" s="57"/>
      <c r="L17" s="2"/>
      <c r="M17" s="2"/>
      <c r="N17" s="2"/>
      <c r="O17" s="2"/>
      <c r="P17" s="2"/>
      <c r="Q17" s="2"/>
      <c r="R17" s="2"/>
      <c r="S17" s="2"/>
      <c r="T17" s="2"/>
      <c r="U17" s="2"/>
      <c r="V17" s="2"/>
      <c r="W17" s="2"/>
      <c r="X17" s="2"/>
      <c r="Y17" s="2"/>
      <c r="Z17" s="2"/>
      <c r="AA17" s="2"/>
      <c r="AB17" s="2"/>
      <c r="AC17" s="2"/>
    </row>
    <row r="18" spans="2:29" ht="15.75">
      <c r="B18" s="2"/>
      <c r="C18" s="68"/>
      <c r="D18" s="67" t="s">
        <v>63</v>
      </c>
      <c r="E18" s="68"/>
      <c r="F18" s="69">
        <f>Variables!E35*E17</f>
        <v>100000</v>
      </c>
      <c r="G18" s="69"/>
      <c r="H18" s="69"/>
      <c r="I18" s="70"/>
      <c r="J18" s="57"/>
      <c r="K18" s="57"/>
      <c r="L18" s="2"/>
      <c r="M18" s="2"/>
      <c r="N18" s="2"/>
      <c r="O18" s="2"/>
      <c r="P18" s="2"/>
      <c r="Q18" s="2"/>
      <c r="R18" s="2"/>
      <c r="S18" s="2"/>
      <c r="T18" s="2"/>
      <c r="U18" s="2"/>
      <c r="V18" s="2"/>
      <c r="W18" s="2"/>
      <c r="X18" s="2"/>
      <c r="Y18" s="2"/>
      <c r="Z18" s="2"/>
      <c r="AA18" s="2"/>
      <c r="AB18" s="2"/>
      <c r="AC18" s="2"/>
    </row>
    <row r="19" spans="2:29" ht="15.75">
      <c r="B19" s="2"/>
      <c r="C19" s="72"/>
      <c r="D19" s="68" t="s">
        <v>30</v>
      </c>
      <c r="E19" s="68"/>
      <c r="F19" s="69"/>
      <c r="G19" s="69">
        <f>Variables!E38*F18*E17</f>
        <v>14000.000000000002</v>
      </c>
      <c r="H19" s="69"/>
      <c r="I19" s="70"/>
      <c r="J19" s="57"/>
      <c r="K19" s="57"/>
      <c r="L19" s="2"/>
      <c r="M19" s="2"/>
      <c r="N19" s="2"/>
      <c r="O19" s="2"/>
      <c r="P19" s="2"/>
      <c r="Q19" s="2"/>
      <c r="R19" s="2"/>
      <c r="S19" s="2"/>
      <c r="T19" s="2"/>
      <c r="U19" s="2"/>
      <c r="V19" s="2"/>
      <c r="W19" s="2"/>
      <c r="X19" s="2"/>
      <c r="Y19" s="2"/>
      <c r="Z19" s="2"/>
      <c r="AA19" s="2"/>
      <c r="AB19" s="2"/>
      <c r="AC19" s="2"/>
    </row>
    <row r="20" spans="2:29" ht="15.75">
      <c r="B20" s="2"/>
      <c r="C20" s="71"/>
      <c r="D20" s="68" t="s">
        <v>21</v>
      </c>
      <c r="E20" s="68"/>
      <c r="F20" s="69"/>
      <c r="G20" s="69"/>
      <c r="H20" s="69">
        <f>$E$17*Variables!E98*'2.Machine Processing'!E26</f>
        <v>280519.28834355826</v>
      </c>
      <c r="I20" s="70"/>
      <c r="J20" s="57"/>
      <c r="K20" s="57"/>
      <c r="L20" s="2"/>
      <c r="M20" s="2"/>
      <c r="N20" s="2"/>
      <c r="O20" s="2"/>
      <c r="P20" s="2"/>
      <c r="Q20" s="2"/>
      <c r="R20" s="2"/>
      <c r="S20" s="2"/>
      <c r="T20" s="2"/>
      <c r="U20" s="2"/>
      <c r="V20" s="2"/>
      <c r="W20" s="2"/>
      <c r="X20" s="2"/>
      <c r="Y20" s="2"/>
      <c r="Z20" s="2"/>
      <c r="AA20" s="2"/>
      <c r="AB20" s="2"/>
      <c r="AC20" s="2"/>
    </row>
    <row r="21" spans="2:29" ht="15.75">
      <c r="B21" s="2"/>
      <c r="C21" s="71"/>
      <c r="D21" s="68" t="s">
        <v>22</v>
      </c>
      <c r="E21" s="68"/>
      <c r="F21" s="69"/>
      <c r="G21" s="69"/>
      <c r="H21" s="69">
        <f>$E$17*Variables!E99*'2.Machine Processing'!E27</f>
        <v>0</v>
      </c>
      <c r="I21" s="70"/>
      <c r="J21" s="57"/>
      <c r="K21" s="57"/>
      <c r="L21" s="2"/>
      <c r="M21" s="2"/>
      <c r="N21" s="2"/>
      <c r="O21" s="2"/>
      <c r="P21" s="2"/>
      <c r="Q21" s="2"/>
      <c r="R21" s="2"/>
      <c r="S21" s="2"/>
      <c r="T21" s="2"/>
      <c r="U21" s="2"/>
      <c r="V21" s="2"/>
      <c r="W21" s="2"/>
      <c r="X21" s="2"/>
      <c r="Y21" s="2"/>
      <c r="Z21" s="2"/>
      <c r="AA21" s="2"/>
      <c r="AB21" s="2"/>
      <c r="AC21" s="2"/>
    </row>
    <row r="22" spans="2:29" ht="15.75">
      <c r="B22" s="2"/>
      <c r="C22" s="72"/>
      <c r="D22" s="102" t="s">
        <v>170</v>
      </c>
      <c r="E22" s="68"/>
      <c r="F22" s="69"/>
      <c r="G22" s="69"/>
      <c r="H22" s="69"/>
      <c r="I22" s="277">
        <f>'2.Machine Processing'!I3/1000*Variables!E115*E17</f>
        <v>5247809.8159509199</v>
      </c>
      <c r="J22" s="57"/>
      <c r="K22" s="448" t="s">
        <v>369</v>
      </c>
      <c r="L22" s="2"/>
      <c r="M22" s="2"/>
      <c r="N22" s="2"/>
      <c r="O22" s="2"/>
      <c r="P22" s="2"/>
      <c r="Q22" s="2"/>
      <c r="R22" s="2"/>
      <c r="S22" s="2"/>
      <c r="T22" s="2"/>
      <c r="U22" s="2"/>
      <c r="V22" s="2"/>
      <c r="W22" s="2"/>
      <c r="X22" s="2"/>
      <c r="Y22" s="2"/>
      <c r="Z22" s="2"/>
      <c r="AA22" s="2"/>
      <c r="AB22" s="2"/>
      <c r="AC22" s="2"/>
    </row>
    <row r="23" spans="2:29" ht="15.75">
      <c r="B23" s="2"/>
      <c r="C23" s="72"/>
      <c r="D23" s="67" t="s">
        <v>54</v>
      </c>
      <c r="E23" s="68"/>
      <c r="F23" s="69"/>
      <c r="G23" s="69"/>
      <c r="H23" s="69"/>
      <c r="I23" s="70"/>
      <c r="J23" s="57"/>
      <c r="K23" s="57"/>
      <c r="L23" s="2"/>
      <c r="M23" s="2"/>
      <c r="N23" s="2"/>
      <c r="O23" s="2"/>
      <c r="P23" s="2"/>
      <c r="Q23" s="2"/>
      <c r="R23" s="2"/>
      <c r="S23" s="2"/>
      <c r="T23" s="2"/>
      <c r="U23" s="2"/>
      <c r="V23" s="2"/>
      <c r="W23" s="2"/>
      <c r="X23" s="2"/>
      <c r="Y23" s="2"/>
      <c r="Z23" s="2"/>
      <c r="AA23" s="2"/>
      <c r="AB23" s="2"/>
      <c r="AC23" s="2"/>
    </row>
    <row r="24" spans="2:29" ht="15.75">
      <c r="B24" s="2"/>
      <c r="C24" s="73" t="s">
        <v>138</v>
      </c>
      <c r="D24" s="73"/>
      <c r="E24" s="68">
        <v>1</v>
      </c>
      <c r="F24" s="74"/>
      <c r="G24" s="69"/>
      <c r="H24" s="69"/>
      <c r="I24" s="70"/>
      <c r="J24" s="57"/>
      <c r="K24" s="57"/>
      <c r="L24" s="2"/>
      <c r="M24" s="2"/>
      <c r="N24" s="2"/>
      <c r="O24" s="2"/>
      <c r="P24" s="2"/>
      <c r="Q24" s="2"/>
      <c r="R24" s="2"/>
      <c r="S24" s="2"/>
      <c r="T24" s="2"/>
      <c r="U24" s="2"/>
      <c r="V24" s="2"/>
      <c r="W24" s="2"/>
      <c r="X24" s="2"/>
      <c r="Y24" s="2"/>
      <c r="Z24" s="2"/>
      <c r="AA24" s="2"/>
      <c r="AB24" s="2"/>
      <c r="AC24" s="2"/>
    </row>
    <row r="25" spans="2:29" ht="15.75">
      <c r="B25" s="2"/>
      <c r="C25" s="71"/>
      <c r="D25" s="67" t="s">
        <v>63</v>
      </c>
      <c r="E25" s="68"/>
      <c r="F25" s="69">
        <f>Variables!E39*E24</f>
        <v>30000</v>
      </c>
      <c r="G25" s="69"/>
      <c r="H25" s="69"/>
      <c r="I25" s="70"/>
      <c r="J25" s="57"/>
      <c r="K25" s="57"/>
      <c r="L25" s="2"/>
      <c r="M25" s="2"/>
      <c r="N25" s="2"/>
      <c r="O25" s="2"/>
      <c r="P25" s="2"/>
      <c r="Q25" s="2"/>
      <c r="R25" s="2"/>
      <c r="S25" s="2"/>
      <c r="T25" s="2"/>
      <c r="U25" s="2"/>
      <c r="V25" s="2"/>
      <c r="W25" s="2"/>
      <c r="X25" s="2"/>
      <c r="Y25" s="2"/>
      <c r="Z25" s="2"/>
      <c r="AA25" s="2"/>
      <c r="AB25" s="2"/>
      <c r="AC25" s="2"/>
    </row>
    <row r="26" spans="2:29" ht="15.75">
      <c r="B26" s="2"/>
      <c r="C26" s="73"/>
      <c r="D26" s="68" t="s">
        <v>30</v>
      </c>
      <c r="E26" s="68"/>
      <c r="F26" s="69"/>
      <c r="G26" s="69">
        <f>Variables!E42*F25*E24</f>
        <v>4200</v>
      </c>
      <c r="H26" s="69"/>
      <c r="I26" s="70"/>
      <c r="J26" s="57"/>
      <c r="K26" s="57"/>
      <c r="L26" s="2"/>
      <c r="M26" s="2"/>
      <c r="N26" s="2"/>
      <c r="O26" s="2"/>
      <c r="P26" s="2"/>
      <c r="Q26" s="2"/>
      <c r="R26" s="2"/>
      <c r="S26" s="2"/>
      <c r="T26" s="2"/>
      <c r="U26" s="2"/>
      <c r="V26" s="2"/>
      <c r="W26" s="2"/>
      <c r="X26" s="2"/>
      <c r="Y26" s="2"/>
      <c r="Z26" s="2"/>
      <c r="AA26" s="2"/>
      <c r="AB26" s="2"/>
      <c r="AC26" s="2"/>
    </row>
    <row r="27" spans="2:29" ht="15.75">
      <c r="B27" s="2"/>
      <c r="C27" s="73"/>
      <c r="D27" s="68" t="s">
        <v>54</v>
      </c>
      <c r="E27" s="68"/>
      <c r="F27" s="69"/>
      <c r="G27" s="69"/>
      <c r="H27" s="69"/>
      <c r="I27" s="70"/>
      <c r="J27" s="57"/>
      <c r="K27" s="57"/>
      <c r="L27" s="2"/>
      <c r="M27" s="2"/>
      <c r="N27" s="2"/>
      <c r="O27" s="2"/>
      <c r="P27" s="2"/>
      <c r="Q27" s="2"/>
      <c r="R27" s="2"/>
      <c r="S27" s="2"/>
      <c r="T27" s="2"/>
      <c r="U27" s="2"/>
      <c r="V27" s="2"/>
      <c r="W27" s="2"/>
      <c r="X27" s="2"/>
      <c r="Y27" s="2"/>
      <c r="Z27" s="2"/>
      <c r="AA27" s="2"/>
      <c r="AB27" s="2"/>
      <c r="AC27" s="2"/>
    </row>
    <row r="28" spans="2:29" ht="15.75">
      <c r="B28" s="2"/>
      <c r="C28" s="73"/>
      <c r="D28" s="449" t="s">
        <v>21</v>
      </c>
      <c r="E28" s="68"/>
      <c r="F28" s="69"/>
      <c r="G28" s="69"/>
      <c r="H28" s="69">
        <f>$E$24*'2.Machine Processing'!E32*Variables!E98</f>
        <v>0</v>
      </c>
      <c r="I28" s="70"/>
      <c r="J28" s="57"/>
      <c r="K28" s="448" t="s">
        <v>350</v>
      </c>
      <c r="L28" s="2"/>
      <c r="M28" s="2"/>
      <c r="N28" s="2"/>
      <c r="O28" s="2"/>
      <c r="P28" s="2"/>
      <c r="Q28" s="2"/>
      <c r="R28" s="2"/>
      <c r="S28" s="2"/>
      <c r="T28" s="2"/>
      <c r="U28" s="2"/>
      <c r="V28" s="2"/>
      <c r="W28" s="2"/>
      <c r="X28" s="2"/>
      <c r="Y28" s="2"/>
      <c r="Z28" s="2"/>
      <c r="AA28" s="2"/>
      <c r="AB28" s="2"/>
      <c r="AC28" s="2"/>
    </row>
    <row r="29" spans="2:29" ht="15.75">
      <c r="B29" s="2"/>
      <c r="C29" s="73"/>
      <c r="D29" s="68" t="s">
        <v>22</v>
      </c>
      <c r="E29" s="68"/>
      <c r="F29" s="69"/>
      <c r="G29" s="69"/>
      <c r="H29" s="69">
        <f>$E$24*'2.Machine Processing'!E33*Variables!E99</f>
        <v>0</v>
      </c>
      <c r="I29" s="70"/>
      <c r="J29" s="57"/>
      <c r="K29" s="57"/>
      <c r="L29" s="2"/>
      <c r="M29" s="2"/>
      <c r="N29" s="2"/>
      <c r="O29" s="2"/>
      <c r="P29" s="2"/>
      <c r="Q29" s="2"/>
      <c r="R29" s="2"/>
      <c r="S29" s="2"/>
      <c r="T29" s="2"/>
      <c r="U29" s="2"/>
      <c r="V29" s="2"/>
      <c r="W29" s="2"/>
      <c r="X29" s="2"/>
      <c r="Y29" s="2"/>
      <c r="Z29" s="2"/>
      <c r="AA29" s="2"/>
      <c r="AB29" s="2"/>
      <c r="AC29" s="2"/>
    </row>
    <row r="30" spans="2:29" ht="15.75">
      <c r="B30" s="2"/>
      <c r="C30" s="72" t="s">
        <v>132</v>
      </c>
      <c r="D30" s="72"/>
      <c r="E30" s="68">
        <v>1</v>
      </c>
      <c r="F30" s="69"/>
      <c r="G30" s="69"/>
      <c r="H30" s="69"/>
      <c r="I30" s="70"/>
      <c r="J30" s="57"/>
      <c r="K30" s="57"/>
      <c r="L30" s="2"/>
      <c r="M30" s="2"/>
      <c r="N30" s="2"/>
      <c r="O30" s="2"/>
      <c r="P30" s="2"/>
      <c r="Q30" s="2"/>
      <c r="R30" s="2"/>
      <c r="S30" s="2"/>
      <c r="T30" s="2"/>
      <c r="U30" s="2"/>
      <c r="V30" s="2"/>
      <c r="W30" s="2"/>
      <c r="X30" s="2"/>
      <c r="Y30" s="2"/>
      <c r="Z30" s="2"/>
      <c r="AA30" s="2"/>
      <c r="AB30" s="2"/>
      <c r="AC30" s="2"/>
    </row>
    <row r="31" spans="2:29" ht="15.75">
      <c r="B31" s="2"/>
      <c r="C31" s="68"/>
      <c r="D31" s="67" t="s">
        <v>63</v>
      </c>
      <c r="E31" s="68"/>
      <c r="F31" s="69">
        <f>Variables!E43*E30</f>
        <v>200000</v>
      </c>
      <c r="G31" s="69"/>
      <c r="H31" s="69"/>
      <c r="I31" s="70"/>
      <c r="J31" s="57"/>
      <c r="K31" s="57"/>
      <c r="L31" s="2"/>
      <c r="M31" s="2"/>
      <c r="N31" s="2"/>
      <c r="O31" s="2"/>
      <c r="P31" s="2"/>
      <c r="Q31" s="2"/>
      <c r="R31" s="2"/>
      <c r="S31" s="2"/>
      <c r="T31" s="2"/>
      <c r="U31" s="2"/>
      <c r="V31" s="2"/>
      <c r="W31" s="2"/>
      <c r="X31" s="2"/>
      <c r="Y31" s="2"/>
      <c r="Z31" s="2"/>
      <c r="AA31" s="2"/>
      <c r="AB31" s="2"/>
      <c r="AC31" s="2"/>
    </row>
    <row r="32" spans="2:29" ht="15.75">
      <c r="B32" s="2"/>
      <c r="C32" s="71"/>
      <c r="D32" s="68" t="s">
        <v>30</v>
      </c>
      <c r="E32" s="68"/>
      <c r="F32" s="69"/>
      <c r="G32" s="69">
        <f>Variables!$E$46*F31*E30</f>
        <v>28000.000000000004</v>
      </c>
      <c r="H32" s="69"/>
      <c r="I32" s="70"/>
      <c r="J32" s="57"/>
      <c r="K32" s="57"/>
      <c r="L32" s="2"/>
      <c r="M32" s="2"/>
      <c r="N32" s="2"/>
      <c r="O32" s="2"/>
      <c r="P32" s="2"/>
      <c r="Q32" s="2"/>
      <c r="R32" s="2"/>
      <c r="S32" s="2"/>
      <c r="T32" s="2"/>
      <c r="U32" s="2"/>
      <c r="V32" s="2"/>
      <c r="W32" s="2"/>
      <c r="X32" s="2"/>
      <c r="Y32" s="2"/>
      <c r="Z32" s="2"/>
      <c r="AA32" s="2"/>
      <c r="AB32" s="2"/>
      <c r="AC32" s="2"/>
    </row>
    <row r="33" spans="2:29" ht="15.75">
      <c r="B33" s="2"/>
      <c r="C33" s="72"/>
      <c r="D33" s="68" t="s">
        <v>21</v>
      </c>
      <c r="E33" s="68"/>
      <c r="F33" s="69"/>
      <c r="G33" s="69"/>
      <c r="H33" s="69">
        <f>$E$30*'2.Machine Processing'!E39*Variables!E98</f>
        <v>45993.713521472397</v>
      </c>
      <c r="I33" s="70"/>
      <c r="J33" s="57"/>
      <c r="K33" s="57"/>
      <c r="L33" s="2"/>
      <c r="M33" s="2"/>
      <c r="N33" s="2"/>
      <c r="O33" s="2"/>
      <c r="P33" s="2"/>
      <c r="Q33" s="2"/>
      <c r="R33" s="2"/>
      <c r="S33" s="2"/>
      <c r="T33" s="2"/>
      <c r="U33" s="2"/>
      <c r="V33" s="2"/>
      <c r="W33" s="2"/>
      <c r="X33" s="2"/>
      <c r="Y33" s="2"/>
      <c r="Z33" s="2"/>
      <c r="AA33" s="2"/>
      <c r="AB33" s="2"/>
      <c r="AC33" s="2"/>
    </row>
    <row r="34" spans="2:29" ht="15.75">
      <c r="B34" s="2"/>
      <c r="C34" s="72"/>
      <c r="D34" s="68" t="s">
        <v>22</v>
      </c>
      <c r="E34" s="68"/>
      <c r="F34" s="69"/>
      <c r="G34" s="69"/>
      <c r="H34" s="69">
        <f>$E$30*'2.Machine Processing'!E40*Variables!E99</f>
        <v>0</v>
      </c>
      <c r="I34" s="70"/>
      <c r="J34" s="57"/>
      <c r="K34" s="57"/>
      <c r="L34" s="2"/>
      <c r="M34" s="2"/>
      <c r="N34" s="2"/>
      <c r="O34" s="2"/>
      <c r="P34" s="2"/>
      <c r="Q34" s="2"/>
      <c r="R34" s="2"/>
      <c r="S34" s="2"/>
      <c r="T34" s="2"/>
      <c r="U34" s="2"/>
      <c r="V34" s="2"/>
      <c r="W34" s="2"/>
      <c r="X34" s="2"/>
      <c r="Y34" s="2"/>
      <c r="Z34" s="2"/>
      <c r="AA34" s="2"/>
      <c r="AB34" s="2"/>
      <c r="AC34" s="2"/>
    </row>
    <row r="35" spans="2:29" ht="15.75">
      <c r="B35" s="2"/>
      <c r="C35" s="72"/>
      <c r="D35" s="110" t="s">
        <v>137</v>
      </c>
      <c r="E35" s="68"/>
      <c r="F35" s="69"/>
      <c r="G35" s="69"/>
      <c r="H35" s="69">
        <f>'2.Machine Processing'!I4*Variables!E106</f>
        <v>0</v>
      </c>
      <c r="I35" s="70"/>
      <c r="J35" s="57"/>
      <c r="K35" s="275"/>
      <c r="L35" s="2"/>
      <c r="M35" s="2"/>
      <c r="N35" s="2"/>
      <c r="O35" s="2"/>
      <c r="P35" s="2"/>
      <c r="Q35" s="2"/>
      <c r="R35" s="2"/>
      <c r="S35" s="2"/>
      <c r="T35" s="2"/>
      <c r="U35" s="2"/>
      <c r="V35" s="2"/>
      <c r="W35" s="2"/>
      <c r="X35" s="2"/>
      <c r="Y35" s="2"/>
      <c r="Z35" s="2"/>
      <c r="AA35" s="2"/>
      <c r="AB35" s="2"/>
      <c r="AC35" s="2"/>
    </row>
    <row r="36" spans="2:29" ht="15.75">
      <c r="B36" s="2"/>
      <c r="C36" s="72"/>
      <c r="D36" s="67" t="s">
        <v>54</v>
      </c>
      <c r="E36" s="68"/>
      <c r="F36" s="69"/>
      <c r="G36" s="69"/>
      <c r="H36" s="69"/>
      <c r="I36" s="70"/>
      <c r="J36" s="57"/>
      <c r="K36" s="57"/>
      <c r="L36" s="2"/>
      <c r="M36" s="2"/>
      <c r="N36" s="2"/>
      <c r="O36" s="2"/>
      <c r="P36" s="2"/>
      <c r="Q36" s="2"/>
      <c r="R36" s="2"/>
      <c r="S36" s="2"/>
      <c r="T36" s="2"/>
      <c r="U36" s="2"/>
      <c r="V36" s="2"/>
      <c r="W36" s="2"/>
      <c r="X36" s="2"/>
      <c r="Y36" s="2"/>
      <c r="Z36" s="2"/>
      <c r="AA36" s="2"/>
      <c r="AB36" s="2"/>
      <c r="AC36" s="2"/>
    </row>
    <row r="37" spans="2:29" ht="15.75">
      <c r="B37" s="2"/>
      <c r="C37" s="73" t="s">
        <v>140</v>
      </c>
      <c r="D37" s="73"/>
      <c r="E37" s="68">
        <v>1</v>
      </c>
      <c r="F37" s="74"/>
      <c r="G37" s="69"/>
      <c r="H37" s="69"/>
      <c r="I37" s="70"/>
      <c r="J37" s="57"/>
      <c r="K37" s="57"/>
      <c r="L37" s="2"/>
      <c r="M37" s="2"/>
      <c r="N37" s="2"/>
      <c r="O37" s="2"/>
      <c r="P37" s="2"/>
      <c r="Q37" s="2"/>
      <c r="R37" s="2"/>
      <c r="S37" s="2"/>
      <c r="T37" s="2"/>
      <c r="U37" s="2"/>
      <c r="V37" s="2"/>
      <c r="W37" s="2"/>
      <c r="X37" s="2"/>
      <c r="Y37" s="2"/>
      <c r="Z37" s="2"/>
      <c r="AA37" s="2"/>
      <c r="AB37" s="2"/>
      <c r="AC37" s="2"/>
    </row>
    <row r="38" spans="2:29" ht="15.75">
      <c r="B38" s="2"/>
      <c r="C38" s="71"/>
      <c r="D38" s="67" t="s">
        <v>63</v>
      </c>
      <c r="E38" s="68"/>
      <c r="F38" s="69">
        <f>Variables!E47*E37</f>
        <v>30000</v>
      </c>
      <c r="G38" s="69"/>
      <c r="H38" s="69"/>
      <c r="I38" s="70"/>
      <c r="J38" s="57"/>
      <c r="K38" s="57"/>
      <c r="L38" s="2"/>
      <c r="M38" s="2"/>
      <c r="N38" s="2"/>
      <c r="O38" s="2"/>
      <c r="P38" s="2"/>
      <c r="Q38" s="2"/>
      <c r="R38" s="2"/>
      <c r="S38" s="2"/>
      <c r="T38" s="2"/>
      <c r="U38" s="2"/>
      <c r="V38" s="2"/>
      <c r="W38" s="2"/>
      <c r="X38" s="2"/>
      <c r="Y38" s="2"/>
      <c r="Z38" s="2"/>
      <c r="AA38" s="2"/>
      <c r="AB38" s="2"/>
      <c r="AC38" s="2"/>
    </row>
    <row r="39" spans="2:29" ht="15.75">
      <c r="B39" s="2"/>
      <c r="C39" s="73"/>
      <c r="D39" s="68" t="s">
        <v>30</v>
      </c>
      <c r="E39" s="68"/>
      <c r="F39" s="69"/>
      <c r="G39" s="69">
        <f>Variables!$E$50*'2.Process Cost-Benefit'!F38*E37</f>
        <v>4200</v>
      </c>
      <c r="H39" s="69"/>
      <c r="I39" s="70"/>
      <c r="J39" s="57"/>
      <c r="K39" s="57"/>
      <c r="L39" s="2"/>
      <c r="M39" s="2"/>
      <c r="N39" s="2"/>
      <c r="O39" s="2"/>
      <c r="P39" s="2"/>
      <c r="Q39" s="2"/>
      <c r="R39" s="2"/>
      <c r="S39" s="2"/>
      <c r="T39" s="2"/>
      <c r="U39" s="2"/>
      <c r="V39" s="2"/>
      <c r="W39" s="2"/>
      <c r="X39" s="2"/>
      <c r="Y39" s="2"/>
      <c r="Z39" s="2"/>
      <c r="AA39" s="2"/>
      <c r="AB39" s="2"/>
      <c r="AC39" s="2"/>
    </row>
    <row r="40" spans="2:29" ht="15.75">
      <c r="B40" s="2"/>
      <c r="C40" s="73"/>
      <c r="D40" s="68" t="s">
        <v>21</v>
      </c>
      <c r="E40" s="68"/>
      <c r="F40" s="69"/>
      <c r="G40" s="69"/>
      <c r="H40" s="69">
        <f>$E$37*'2.Machine Processing'!E46*Variables!E98</f>
        <v>0</v>
      </c>
      <c r="I40" s="70"/>
      <c r="J40" s="57"/>
      <c r="K40" s="57"/>
      <c r="L40" s="2"/>
      <c r="M40" s="2"/>
      <c r="N40" s="2"/>
      <c r="O40" s="2"/>
      <c r="P40" s="2"/>
      <c r="Q40" s="2"/>
      <c r="R40" s="2"/>
      <c r="S40" s="2"/>
      <c r="T40" s="2"/>
      <c r="U40" s="2"/>
      <c r="V40" s="2"/>
      <c r="W40" s="2"/>
      <c r="X40" s="2"/>
      <c r="Y40" s="2"/>
      <c r="Z40" s="2"/>
      <c r="AA40" s="2"/>
      <c r="AB40" s="2"/>
      <c r="AC40" s="2"/>
    </row>
    <row r="41" spans="2:29" ht="15.75">
      <c r="B41" s="2"/>
      <c r="C41" s="73"/>
      <c r="D41" s="68" t="s">
        <v>22</v>
      </c>
      <c r="E41" s="68"/>
      <c r="F41" s="69"/>
      <c r="G41" s="69"/>
      <c r="H41" s="69">
        <f>$E$37*'2.Machine Processing'!E47*Variables!E99</f>
        <v>0</v>
      </c>
      <c r="I41" s="70"/>
      <c r="J41" s="57"/>
      <c r="K41" s="57"/>
      <c r="L41" s="2"/>
      <c r="M41" s="2"/>
      <c r="N41" s="2"/>
      <c r="O41" s="2"/>
      <c r="P41" s="2"/>
      <c r="Q41" s="2"/>
      <c r="R41" s="2"/>
      <c r="S41" s="2"/>
      <c r="T41" s="2"/>
      <c r="U41" s="2"/>
      <c r="V41" s="2"/>
      <c r="W41" s="2"/>
      <c r="X41" s="2"/>
      <c r="Y41" s="2"/>
      <c r="Z41" s="2"/>
      <c r="AA41" s="2"/>
      <c r="AB41" s="2"/>
      <c r="AC41" s="2"/>
    </row>
    <row r="42" spans="2:29" ht="15.75">
      <c r="B42" s="2"/>
      <c r="C42" s="73"/>
      <c r="D42" s="68" t="s">
        <v>54</v>
      </c>
      <c r="E42" s="68"/>
      <c r="F42" s="69"/>
      <c r="G42" s="69"/>
      <c r="H42" s="69"/>
      <c r="I42" s="70"/>
      <c r="J42" s="57"/>
      <c r="K42" s="57"/>
      <c r="L42" s="2"/>
      <c r="M42" s="2"/>
      <c r="N42" s="2"/>
      <c r="O42" s="2"/>
      <c r="P42" s="2"/>
      <c r="Q42" s="2"/>
      <c r="R42" s="2"/>
      <c r="S42" s="2"/>
      <c r="T42" s="2"/>
      <c r="U42" s="2"/>
      <c r="V42" s="2"/>
      <c r="W42" s="2"/>
      <c r="X42" s="2"/>
      <c r="Y42" s="2"/>
      <c r="Z42" s="2"/>
      <c r="AA42" s="2"/>
      <c r="AB42" s="2"/>
      <c r="AC42" s="2"/>
    </row>
    <row r="43" spans="2:29" ht="15.75">
      <c r="B43" s="2"/>
      <c r="C43" s="72" t="s">
        <v>134</v>
      </c>
      <c r="D43" s="72"/>
      <c r="E43" s="68">
        <v>1</v>
      </c>
      <c r="F43" s="69"/>
      <c r="G43" s="69"/>
      <c r="H43" s="69"/>
      <c r="I43" s="70"/>
      <c r="J43" s="57"/>
      <c r="K43" s="57"/>
      <c r="L43" s="2"/>
      <c r="M43" s="2"/>
      <c r="N43" s="2"/>
      <c r="O43" s="2"/>
      <c r="P43" s="2"/>
      <c r="Q43" s="2"/>
      <c r="R43" s="2"/>
      <c r="S43" s="2"/>
      <c r="T43" s="2"/>
      <c r="U43" s="2"/>
      <c r="V43" s="2"/>
      <c r="W43" s="2"/>
      <c r="X43" s="2"/>
      <c r="Y43" s="2"/>
      <c r="Z43" s="2"/>
      <c r="AA43" s="2"/>
      <c r="AB43" s="2"/>
      <c r="AC43" s="2"/>
    </row>
    <row r="44" spans="2:29" ht="15.75">
      <c r="B44" s="2"/>
      <c r="C44" s="68"/>
      <c r="D44" s="67" t="s">
        <v>63</v>
      </c>
      <c r="E44" s="68"/>
      <c r="F44" s="69">
        <f>Variables!E47*E43</f>
        <v>30000</v>
      </c>
      <c r="G44" s="69"/>
      <c r="H44" s="69"/>
      <c r="I44" s="70"/>
      <c r="J44" s="57"/>
      <c r="K44" s="57"/>
      <c r="L44" s="2"/>
      <c r="M44" s="2"/>
      <c r="N44" s="2"/>
      <c r="O44" s="2"/>
      <c r="P44" s="2"/>
      <c r="Q44" s="2"/>
      <c r="R44" s="2"/>
      <c r="S44" s="2"/>
      <c r="T44" s="2"/>
      <c r="U44" s="2"/>
      <c r="V44" s="2"/>
      <c r="W44" s="2"/>
      <c r="X44" s="2"/>
      <c r="Y44" s="2"/>
      <c r="Z44" s="2"/>
      <c r="AA44" s="2"/>
      <c r="AB44" s="2"/>
      <c r="AC44" s="2"/>
    </row>
    <row r="45" spans="2:29" ht="15.75">
      <c r="B45" s="2"/>
      <c r="C45" s="71"/>
      <c r="D45" s="68" t="s">
        <v>30</v>
      </c>
      <c r="E45" s="68"/>
      <c r="F45" s="69"/>
      <c r="G45" s="69">
        <f>Variables!$E$54*'2.Process Cost-Benefit'!F44*E43</f>
        <v>4200</v>
      </c>
      <c r="H45" s="69"/>
      <c r="I45" s="70"/>
      <c r="J45" s="57"/>
      <c r="K45" s="57"/>
      <c r="L45" s="2"/>
      <c r="M45" s="2"/>
      <c r="N45" s="2"/>
      <c r="O45" s="2"/>
      <c r="P45" s="2"/>
      <c r="Q45" s="2"/>
      <c r="R45" s="2"/>
      <c r="S45" s="2"/>
      <c r="T45" s="2"/>
      <c r="U45" s="2"/>
      <c r="V45" s="2"/>
      <c r="W45" s="2"/>
      <c r="X45" s="2"/>
      <c r="Y45" s="2"/>
      <c r="Z45" s="2"/>
      <c r="AA45" s="2"/>
      <c r="AB45" s="2"/>
      <c r="AC45" s="2"/>
    </row>
    <row r="46" spans="2:29" ht="15.75">
      <c r="B46" s="2"/>
      <c r="C46" s="72"/>
      <c r="D46" s="68" t="s">
        <v>21</v>
      </c>
      <c r="E46" s="68"/>
      <c r="F46" s="69"/>
      <c r="G46" s="69"/>
      <c r="H46" s="69">
        <f>$E$43*'2.Machine Processing'!E53*Variables!E98</f>
        <v>44613.902115828227</v>
      </c>
      <c r="I46" s="70"/>
      <c r="J46" s="57"/>
      <c r="K46" s="57"/>
      <c r="L46" s="2"/>
      <c r="M46" s="2"/>
      <c r="N46" s="2"/>
      <c r="O46" s="2"/>
      <c r="P46" s="2"/>
      <c r="Q46" s="2"/>
      <c r="R46" s="2"/>
      <c r="S46" s="2"/>
      <c r="T46" s="2"/>
      <c r="U46" s="2"/>
      <c r="V46" s="2"/>
      <c r="W46" s="2"/>
      <c r="X46" s="2"/>
      <c r="Y46" s="2"/>
      <c r="Z46" s="2"/>
      <c r="AA46" s="2"/>
      <c r="AB46" s="2"/>
      <c r="AC46" s="2"/>
    </row>
    <row r="47" spans="2:29" ht="15.75">
      <c r="B47" s="2"/>
      <c r="C47" s="72"/>
      <c r="D47" s="68" t="s">
        <v>22</v>
      </c>
      <c r="E47" s="68"/>
      <c r="F47" s="69"/>
      <c r="G47" s="69"/>
      <c r="H47" s="69">
        <f>$E$43*'2.Machine Processing'!E54*Variables!E99</f>
        <v>0</v>
      </c>
      <c r="I47" s="70"/>
      <c r="J47" s="57"/>
      <c r="K47" s="57"/>
      <c r="L47" s="2"/>
      <c r="M47" s="2"/>
      <c r="N47" s="2"/>
      <c r="O47" s="2"/>
      <c r="P47" s="2"/>
      <c r="Q47" s="2"/>
      <c r="R47" s="2"/>
      <c r="S47" s="2"/>
      <c r="T47" s="2"/>
      <c r="U47" s="2"/>
      <c r="V47" s="2"/>
      <c r="W47" s="2"/>
      <c r="X47" s="2"/>
      <c r="Y47" s="2"/>
      <c r="Z47" s="2"/>
      <c r="AA47" s="2"/>
      <c r="AB47" s="2"/>
      <c r="AC47" s="2"/>
    </row>
    <row r="48" spans="2:29" ht="15.75">
      <c r="B48" s="2"/>
      <c r="C48" s="72"/>
      <c r="D48" s="110" t="s">
        <v>139</v>
      </c>
      <c r="E48" s="68"/>
      <c r="F48" s="69"/>
      <c r="G48" s="69"/>
      <c r="H48" s="69"/>
      <c r="I48" s="69">
        <f>E43*'2.Machine Processing'!I5/1000*Variables!E110</f>
        <v>4722002.6489999983</v>
      </c>
      <c r="J48" s="57"/>
      <c r="K48" s="233" t="s">
        <v>145</v>
      </c>
      <c r="L48" s="2"/>
      <c r="M48" s="2"/>
      <c r="N48" s="2"/>
      <c r="O48" s="2"/>
      <c r="P48" s="2"/>
      <c r="Q48" s="2"/>
      <c r="R48" s="2"/>
      <c r="S48" s="2"/>
      <c r="T48" s="2"/>
      <c r="U48" s="2"/>
      <c r="V48" s="2"/>
      <c r="W48" s="2"/>
      <c r="X48" s="2"/>
      <c r="Y48" s="2"/>
      <c r="Z48" s="2"/>
      <c r="AA48" s="2"/>
      <c r="AB48" s="2"/>
      <c r="AC48" s="2"/>
    </row>
    <row r="49" spans="2:29" ht="15.75">
      <c r="B49" s="2"/>
      <c r="C49" s="72"/>
      <c r="D49" s="67" t="s">
        <v>54</v>
      </c>
      <c r="E49" s="68"/>
      <c r="F49" s="69"/>
      <c r="G49" s="69"/>
      <c r="H49" s="69"/>
      <c r="I49" s="70"/>
      <c r="J49" s="57"/>
      <c r="K49" s="57"/>
      <c r="L49" s="2"/>
      <c r="M49" s="2"/>
      <c r="N49" s="2"/>
      <c r="O49" s="2"/>
      <c r="P49" s="2"/>
      <c r="Q49" s="2"/>
      <c r="R49" s="2"/>
      <c r="S49" s="2"/>
      <c r="T49" s="2"/>
      <c r="U49" s="2"/>
      <c r="V49" s="2"/>
      <c r="W49" s="2"/>
      <c r="X49" s="2"/>
      <c r="Y49" s="2"/>
      <c r="Z49" s="2"/>
      <c r="AA49" s="2"/>
      <c r="AB49" s="2"/>
      <c r="AC49" s="2"/>
    </row>
    <row r="50" spans="2:29" ht="15.75">
      <c r="B50" s="2"/>
      <c r="C50" s="73" t="s">
        <v>141</v>
      </c>
      <c r="D50" s="73"/>
      <c r="E50" s="68">
        <v>0</v>
      </c>
      <c r="F50" s="69"/>
      <c r="G50" s="69"/>
      <c r="H50" s="69"/>
      <c r="I50" s="70"/>
      <c r="J50" s="57"/>
      <c r="K50" s="551" t="s">
        <v>344</v>
      </c>
      <c r="L50" s="2"/>
      <c r="M50" s="2"/>
      <c r="N50" s="2"/>
      <c r="O50" s="2"/>
      <c r="P50" s="2"/>
      <c r="Q50" s="2"/>
      <c r="R50" s="2"/>
      <c r="S50" s="2"/>
      <c r="T50" s="2"/>
      <c r="U50" s="2"/>
      <c r="V50" s="2"/>
      <c r="W50" s="2"/>
      <c r="X50" s="2"/>
      <c r="Y50" s="2"/>
      <c r="Z50" s="2"/>
      <c r="AA50" s="2"/>
      <c r="AB50" s="2"/>
      <c r="AC50" s="2"/>
    </row>
    <row r="51" spans="2:29" ht="15.75">
      <c r="B51" s="2"/>
      <c r="C51" s="71"/>
      <c r="D51" s="67" t="s">
        <v>63</v>
      </c>
      <c r="E51" s="68"/>
      <c r="F51" s="69">
        <f>Variables!E55*E50</f>
        <v>0</v>
      </c>
      <c r="G51" s="69"/>
      <c r="H51" s="69"/>
      <c r="I51" s="70"/>
      <c r="J51" s="57"/>
      <c r="K51" s="57"/>
      <c r="L51" s="2"/>
      <c r="M51" s="2"/>
      <c r="N51" s="2"/>
      <c r="O51" s="2"/>
      <c r="P51" s="2"/>
      <c r="Q51" s="2"/>
      <c r="R51" s="2"/>
      <c r="S51" s="2"/>
      <c r="T51" s="2"/>
      <c r="U51" s="2"/>
      <c r="V51" s="2"/>
      <c r="W51" s="2"/>
      <c r="X51" s="2"/>
      <c r="Y51" s="2"/>
      <c r="Z51" s="2"/>
      <c r="AA51" s="2"/>
      <c r="AB51" s="2"/>
      <c r="AC51" s="2"/>
    </row>
    <row r="52" spans="2:29" ht="15.75">
      <c r="B52" s="2"/>
      <c r="C52" s="73"/>
      <c r="D52" s="68" t="s">
        <v>30</v>
      </c>
      <c r="E52" s="68"/>
      <c r="F52" s="69"/>
      <c r="G52" s="69">
        <f>Variables!$E$58*'2.Process Cost-Benefit'!F51*E50</f>
        <v>0</v>
      </c>
      <c r="H52" s="69"/>
      <c r="I52" s="70"/>
      <c r="J52" s="57"/>
      <c r="K52" s="57"/>
      <c r="L52" s="2"/>
      <c r="M52" s="2"/>
      <c r="N52" s="2"/>
      <c r="O52" s="2"/>
      <c r="P52" s="2"/>
      <c r="Q52" s="2"/>
      <c r="R52" s="2"/>
      <c r="S52" s="2"/>
      <c r="T52" s="2"/>
      <c r="U52" s="2"/>
      <c r="V52" s="2"/>
      <c r="W52" s="2"/>
      <c r="X52" s="2"/>
      <c r="Y52" s="2"/>
      <c r="Z52" s="2"/>
      <c r="AA52" s="2"/>
      <c r="AB52" s="2"/>
      <c r="AC52" s="2"/>
    </row>
    <row r="53" spans="2:29" ht="15.75">
      <c r="B53" s="2"/>
      <c r="C53" s="75"/>
      <c r="D53" s="68" t="s">
        <v>21</v>
      </c>
      <c r="E53" s="68"/>
      <c r="F53" s="69"/>
      <c r="G53" s="69"/>
      <c r="H53" s="69">
        <f>$E$50*'2.Machine Processing'!E61*Variables!E98</f>
        <v>0</v>
      </c>
      <c r="I53" s="70"/>
      <c r="J53" s="57"/>
      <c r="K53" s="57"/>
      <c r="L53" s="2"/>
      <c r="M53" s="2"/>
      <c r="N53" s="2"/>
      <c r="O53" s="2"/>
      <c r="P53" s="2"/>
      <c r="Q53" s="2"/>
      <c r="R53" s="2"/>
      <c r="S53" s="2"/>
      <c r="T53" s="2"/>
      <c r="U53" s="2"/>
      <c r="V53" s="2"/>
      <c r="W53" s="2"/>
      <c r="X53" s="2"/>
      <c r="Y53" s="2"/>
      <c r="Z53" s="2"/>
      <c r="AA53" s="2"/>
      <c r="AB53" s="2"/>
      <c r="AC53" s="2"/>
    </row>
    <row r="54" spans="2:29" ht="15.75">
      <c r="B54" s="2"/>
      <c r="C54" s="75"/>
      <c r="D54" s="68" t="s">
        <v>22</v>
      </c>
      <c r="E54" s="68"/>
      <c r="F54" s="69"/>
      <c r="G54" s="69"/>
      <c r="H54" s="69">
        <f>$E$50*'2.Machine Processing'!E62*Variables!E99</f>
        <v>0</v>
      </c>
      <c r="I54" s="70"/>
      <c r="J54" s="57"/>
      <c r="K54" s="57"/>
      <c r="L54" s="2"/>
      <c r="M54" s="2"/>
      <c r="N54" s="2"/>
      <c r="O54" s="2"/>
      <c r="P54" s="2"/>
      <c r="Q54" s="2"/>
      <c r="R54" s="2"/>
      <c r="S54" s="2"/>
      <c r="T54" s="2"/>
      <c r="U54" s="2"/>
      <c r="V54" s="2"/>
      <c r="W54" s="2"/>
      <c r="X54" s="2"/>
      <c r="Y54" s="2"/>
      <c r="Z54" s="2"/>
      <c r="AA54" s="2"/>
      <c r="AB54" s="2"/>
      <c r="AC54" s="2"/>
    </row>
    <row r="55" spans="2:29" ht="15.75">
      <c r="B55" s="2"/>
      <c r="C55" s="76"/>
      <c r="D55" s="77" t="s">
        <v>343</v>
      </c>
      <c r="E55" s="78"/>
      <c r="F55" s="69"/>
      <c r="G55" s="69"/>
      <c r="H55" s="277">
        <f>E50*'2.Machine Processing'!E63/1000*Variables!E103+Variables!E104*'2.Machine Processing'!E64/1000*E50</f>
        <v>0</v>
      </c>
      <c r="I55" s="70"/>
      <c r="J55" s="57"/>
      <c r="K55" s="57"/>
      <c r="L55" s="2"/>
      <c r="M55" s="2"/>
      <c r="N55" s="2"/>
      <c r="O55" s="2"/>
      <c r="P55" s="2"/>
      <c r="Q55" s="2"/>
      <c r="R55" s="2"/>
      <c r="S55" s="2"/>
      <c r="T55" s="2"/>
      <c r="U55" s="2"/>
      <c r="V55" s="2"/>
      <c r="W55" s="2"/>
      <c r="X55" s="2"/>
      <c r="Y55" s="2"/>
      <c r="Z55" s="2"/>
      <c r="AA55" s="2"/>
      <c r="AB55" s="2"/>
      <c r="AC55" s="2"/>
    </row>
    <row r="56" spans="2:29" ht="15.75">
      <c r="B56" s="2"/>
      <c r="C56" s="75"/>
      <c r="D56" s="102" t="s">
        <v>57</v>
      </c>
      <c r="E56" s="68"/>
      <c r="F56" s="69"/>
      <c r="G56" s="69"/>
      <c r="H56" s="100"/>
      <c r="I56" s="277">
        <f>E50*'2.Machine Processing'!I6*Variables!E120</f>
        <v>0</v>
      </c>
      <c r="J56" s="222"/>
      <c r="K56" s="448"/>
      <c r="L56" s="2"/>
      <c r="M56" s="2"/>
      <c r="N56" s="2"/>
      <c r="O56" s="2"/>
      <c r="P56" s="2"/>
      <c r="Q56" s="2"/>
      <c r="R56" s="2"/>
      <c r="S56" s="2"/>
      <c r="T56" s="2"/>
      <c r="U56" s="2"/>
      <c r="V56" s="2"/>
      <c r="W56" s="2"/>
      <c r="X56" s="2"/>
      <c r="Y56" s="2"/>
      <c r="Z56" s="2"/>
      <c r="AA56" s="2"/>
      <c r="AB56" s="2"/>
      <c r="AC56" s="2"/>
    </row>
    <row r="57" spans="2:29" ht="15.75">
      <c r="B57" s="2"/>
      <c r="C57" s="75"/>
      <c r="D57" s="102" t="s">
        <v>58</v>
      </c>
      <c r="E57" s="68"/>
      <c r="F57" s="69"/>
      <c r="G57" s="69"/>
      <c r="H57" s="277">
        <f>'2.Machine Processing'!I7*Variables!E105</f>
        <v>0</v>
      </c>
      <c r="I57" s="100"/>
      <c r="J57" s="222"/>
      <c r="K57" s="534" t="s">
        <v>339</v>
      </c>
      <c r="L57" s="2"/>
      <c r="M57" s="2"/>
      <c r="N57" s="2"/>
      <c r="O57" s="2"/>
      <c r="P57" s="2"/>
      <c r="Q57" s="2"/>
      <c r="R57" s="2"/>
      <c r="S57" s="2"/>
      <c r="T57" s="2"/>
      <c r="U57" s="2"/>
      <c r="V57" s="2"/>
      <c r="W57" s="2"/>
      <c r="X57" s="2"/>
      <c r="Y57" s="2"/>
      <c r="Z57" s="2"/>
      <c r="AA57" s="2"/>
      <c r="AB57" s="2"/>
      <c r="AC57" s="2"/>
    </row>
    <row r="58" spans="2:29" ht="15.75">
      <c r="B58" s="2"/>
      <c r="C58" s="17" t="s">
        <v>17</v>
      </c>
      <c r="D58" s="77"/>
      <c r="E58" s="78"/>
      <c r="F58" s="69"/>
      <c r="G58" s="69"/>
      <c r="H58" s="69"/>
      <c r="I58" s="70"/>
      <c r="J58" s="57"/>
      <c r="K58" s="57"/>
      <c r="L58" s="2"/>
      <c r="M58" s="2"/>
      <c r="N58" s="2"/>
      <c r="O58" s="2"/>
      <c r="P58" s="2"/>
      <c r="Q58" s="2"/>
      <c r="R58" s="2"/>
      <c r="S58" s="2"/>
      <c r="T58" s="2"/>
      <c r="U58" s="2"/>
      <c r="V58" s="2"/>
      <c r="W58" s="2"/>
      <c r="X58" s="2"/>
      <c r="Y58" s="2"/>
      <c r="Z58" s="2"/>
      <c r="AA58" s="2"/>
      <c r="AB58" s="2"/>
      <c r="AC58" s="2"/>
    </row>
    <row r="59" spans="2:29" ht="15.75">
      <c r="B59" s="2"/>
      <c r="C59" s="76"/>
      <c r="D59" s="77" t="s">
        <v>181</v>
      </c>
      <c r="E59" s="78"/>
      <c r="F59" s="69"/>
      <c r="G59" s="69">
        <f>'2.Machine Processing'!E67*Variables!E100</f>
        <v>437600</v>
      </c>
      <c r="H59" s="69"/>
      <c r="I59" s="70"/>
      <c r="J59" s="57"/>
      <c r="K59" s="57"/>
      <c r="L59" s="2"/>
      <c r="M59" s="2"/>
      <c r="N59" s="2"/>
      <c r="O59" s="2"/>
      <c r="P59" s="2"/>
      <c r="Q59" s="2"/>
      <c r="R59" s="2"/>
      <c r="S59" s="2"/>
      <c r="T59" s="2"/>
      <c r="U59" s="2"/>
      <c r="V59" s="2"/>
      <c r="W59" s="2"/>
      <c r="X59" s="2"/>
      <c r="Y59" s="2"/>
      <c r="Z59" s="2"/>
      <c r="AA59" s="2"/>
      <c r="AB59" s="2"/>
      <c r="AC59" s="2"/>
    </row>
    <row r="60" spans="2:29" ht="32.1" customHeight="1">
      <c r="B60" s="2"/>
      <c r="C60" s="108"/>
      <c r="D60" s="278" t="s">
        <v>188</v>
      </c>
      <c r="E60" s="78"/>
      <c r="F60" s="277">
        <f>150%*SUM(F51+F44+F38+F31+F25+F18+F11)</f>
        <v>885000</v>
      </c>
      <c r="G60" s="176"/>
      <c r="H60" s="177"/>
      <c r="I60" s="177"/>
      <c r="J60" s="159"/>
      <c r="K60" s="435" t="s">
        <v>301</v>
      </c>
      <c r="L60" s="2"/>
      <c r="M60" s="2"/>
      <c r="N60" s="2"/>
      <c r="O60" s="2"/>
      <c r="P60" s="2"/>
      <c r="Q60" s="2"/>
      <c r="R60" s="2"/>
      <c r="S60" s="2"/>
      <c r="T60" s="2"/>
      <c r="U60" s="2"/>
      <c r="V60" s="2"/>
      <c r="W60" s="2"/>
      <c r="X60" s="2"/>
      <c r="Y60" s="2"/>
      <c r="Z60" s="2"/>
      <c r="AA60" s="2"/>
      <c r="AB60" s="2"/>
      <c r="AC60" s="2"/>
    </row>
    <row r="61" spans="2:29" ht="20.100000000000001" customHeight="1">
      <c r="B61" s="2"/>
      <c r="C61" s="76"/>
      <c r="D61" s="77" t="s">
        <v>113</v>
      </c>
      <c r="E61" s="78"/>
      <c r="F61" s="277">
        <v>100000</v>
      </c>
      <c r="G61" s="69"/>
      <c r="H61" s="69"/>
      <c r="I61" s="70"/>
      <c r="J61" s="57"/>
      <c r="K61" s="128" t="s">
        <v>114</v>
      </c>
      <c r="L61" s="2"/>
      <c r="M61" s="2"/>
      <c r="N61" s="2"/>
      <c r="O61" s="2"/>
      <c r="P61" s="2"/>
      <c r="Q61" s="2"/>
      <c r="R61" s="2"/>
      <c r="S61" s="2"/>
      <c r="T61" s="2"/>
      <c r="U61" s="2"/>
      <c r="V61" s="2"/>
      <c r="W61" s="2"/>
      <c r="X61" s="2"/>
      <c r="Y61" s="2"/>
      <c r="Z61" s="2"/>
      <c r="AA61" s="2"/>
      <c r="AB61" s="2"/>
      <c r="AC61" s="2"/>
    </row>
    <row r="62" spans="2:29" ht="17.100000000000001" customHeight="1">
      <c r="B62" s="2"/>
      <c r="C62" s="76"/>
      <c r="D62" s="109" t="s">
        <v>112</v>
      </c>
      <c r="E62" s="78"/>
      <c r="F62" s="69"/>
      <c r="G62" s="69"/>
      <c r="H62" s="277">
        <f>'Grass Processing'!E23*Variables!E10</f>
        <v>565077.80000000005</v>
      </c>
      <c r="I62" s="70"/>
      <c r="J62" s="57"/>
      <c r="K62" s="420"/>
      <c r="L62" s="2"/>
      <c r="M62" s="2"/>
      <c r="N62" s="2"/>
      <c r="O62" s="2"/>
      <c r="P62" s="2"/>
      <c r="Q62" s="2"/>
      <c r="R62" s="2"/>
      <c r="S62" s="2"/>
      <c r="T62" s="2"/>
      <c r="U62" s="2"/>
      <c r="V62" s="2"/>
      <c r="W62" s="2"/>
      <c r="X62" s="2"/>
      <c r="Y62" s="2"/>
      <c r="Z62" s="2"/>
      <c r="AA62" s="2"/>
      <c r="AB62" s="2"/>
      <c r="AC62" s="2"/>
    </row>
    <row r="63" spans="2:29" ht="15.75">
      <c r="B63" s="2"/>
      <c r="C63" s="13"/>
      <c r="D63" s="449" t="s">
        <v>348</v>
      </c>
      <c r="E63" s="554"/>
      <c r="F63" s="277"/>
      <c r="G63" s="277"/>
      <c r="H63" s="277">
        <f>'2.Machine Processing'!I5/1000*Variables!E12*2+Variables!E13*2*'2.Machine Processing'!I3/1000</f>
        <v>1186842.2826073617</v>
      </c>
      <c r="I63" s="70"/>
      <c r="J63" s="57"/>
      <c r="K63" s="448" t="s">
        <v>347</v>
      </c>
      <c r="L63" s="2"/>
      <c r="M63" s="2"/>
      <c r="N63" s="2"/>
      <c r="O63" s="2"/>
      <c r="P63" s="2"/>
      <c r="Q63" s="2"/>
      <c r="R63" s="2"/>
      <c r="S63" s="2"/>
      <c r="T63" s="2"/>
      <c r="U63" s="2"/>
      <c r="V63" s="2"/>
      <c r="W63" s="2"/>
      <c r="X63" s="2"/>
      <c r="Y63" s="2"/>
      <c r="Z63" s="2"/>
      <c r="AA63" s="2"/>
      <c r="AB63" s="2"/>
      <c r="AC63" s="2"/>
    </row>
    <row r="64" spans="2:29" ht="16.5" thickBot="1">
      <c r="B64" s="2"/>
      <c r="C64" s="456"/>
      <c r="D64" s="457"/>
      <c r="E64" s="457"/>
      <c r="F64" s="456"/>
      <c r="G64" s="456"/>
      <c r="H64" s="456"/>
      <c r="I64" s="457"/>
      <c r="J64" s="57"/>
      <c r="K64" s="57"/>
      <c r="L64" s="2"/>
      <c r="M64" s="2"/>
      <c r="N64" s="2"/>
      <c r="O64" s="2"/>
      <c r="P64" s="2"/>
      <c r="Q64" s="2"/>
      <c r="R64" s="2"/>
      <c r="S64" s="2"/>
      <c r="T64" s="2"/>
      <c r="U64" s="2"/>
      <c r="V64" s="2"/>
      <c r="W64" s="2"/>
      <c r="X64" s="2"/>
      <c r="Y64" s="2"/>
      <c r="Z64" s="2"/>
      <c r="AA64" s="2"/>
      <c r="AB64" s="2"/>
      <c r="AC64" s="2"/>
    </row>
    <row r="65" spans="2:29" ht="16.5" thickTop="1">
      <c r="B65" s="2"/>
      <c r="C65" s="62" t="s">
        <v>31</v>
      </c>
      <c r="D65" s="97"/>
      <c r="E65" s="97"/>
      <c r="F65" s="98">
        <f>SUM(F10:F63)</f>
        <v>1575000</v>
      </c>
      <c r="G65" s="98">
        <f>SUM(G10:G63)</f>
        <v>520200</v>
      </c>
      <c r="H65" s="98">
        <f>SUM(H10:H63)</f>
        <v>31132828.331986997</v>
      </c>
      <c r="I65" s="98">
        <f>SUM(I10:I63)</f>
        <v>9969812.4649509192</v>
      </c>
      <c r="J65" s="57"/>
      <c r="K65" s="57"/>
      <c r="L65" s="2"/>
      <c r="M65" s="2"/>
      <c r="N65" s="2"/>
      <c r="O65" s="2"/>
      <c r="P65" s="2"/>
      <c r="Q65" s="2"/>
      <c r="R65" s="2"/>
      <c r="S65" s="2"/>
      <c r="T65" s="2"/>
      <c r="U65" s="2"/>
      <c r="V65" s="2"/>
      <c r="W65" s="2"/>
      <c r="X65" s="2"/>
      <c r="Y65" s="2"/>
      <c r="Z65" s="2"/>
      <c r="AA65" s="2"/>
      <c r="AB65" s="2"/>
      <c r="AC65" s="2"/>
    </row>
    <row r="66" spans="2:29" ht="15.75">
      <c r="B66" s="2"/>
      <c r="C66" s="57"/>
      <c r="D66" s="57"/>
      <c r="E66" s="57"/>
      <c r="F66" s="57"/>
      <c r="G66" s="57"/>
      <c r="H66" s="57"/>
      <c r="I66" s="57"/>
      <c r="J66" s="57"/>
      <c r="K66" s="57"/>
      <c r="L66" s="2"/>
      <c r="M66" s="2"/>
      <c r="N66" s="2"/>
      <c r="O66" s="2"/>
      <c r="P66" s="2"/>
      <c r="Q66" s="2"/>
      <c r="R66" s="2"/>
      <c r="S66" s="2"/>
      <c r="T66" s="2"/>
      <c r="U66" s="2"/>
      <c r="V66" s="2"/>
      <c r="W66" s="2"/>
      <c r="X66" s="2"/>
      <c r="Y66" s="2"/>
      <c r="Z66" s="2"/>
      <c r="AA66" s="2"/>
      <c r="AB66" s="2"/>
      <c r="AC66" s="2"/>
    </row>
    <row r="67" spans="2:29" ht="15.75">
      <c r="B67" s="2"/>
      <c r="G67" s="234"/>
      <c r="H67" s="46"/>
      <c r="J67" s="57"/>
      <c r="K67" s="57"/>
      <c r="L67" s="2"/>
      <c r="M67" s="2"/>
      <c r="N67" s="2"/>
      <c r="O67" s="2"/>
      <c r="P67" s="2"/>
      <c r="Q67" s="2"/>
      <c r="R67" s="2"/>
      <c r="S67" s="2"/>
      <c r="T67" s="2"/>
      <c r="U67" s="2"/>
      <c r="V67" s="2"/>
      <c r="W67" s="2"/>
      <c r="X67" s="2"/>
      <c r="Y67" s="2"/>
      <c r="Z67" s="2"/>
      <c r="AA67" s="2"/>
      <c r="AB67" s="2"/>
      <c r="AC67" s="2"/>
    </row>
    <row r="68" spans="2:29" ht="15.75">
      <c r="B68" s="2"/>
      <c r="J68" s="57"/>
      <c r="K68" s="57"/>
      <c r="L68" s="2"/>
      <c r="M68" s="2"/>
      <c r="N68" s="2"/>
      <c r="O68" s="2"/>
      <c r="P68" s="2"/>
      <c r="Q68" s="2"/>
      <c r="R68" s="2"/>
      <c r="S68" s="2"/>
      <c r="T68" s="2"/>
      <c r="U68" s="2"/>
      <c r="V68" s="2"/>
      <c r="W68" s="2"/>
      <c r="X68" s="2"/>
      <c r="Y68" s="2"/>
      <c r="Z68" s="2"/>
      <c r="AA68" s="2"/>
      <c r="AB68" s="2"/>
      <c r="AC68" s="2"/>
    </row>
    <row r="69" spans="2:29" ht="15.75">
      <c r="B69" s="2"/>
      <c r="C69" s="57"/>
      <c r="D69" s="57"/>
      <c r="E69" s="2"/>
      <c r="F69" s="2"/>
      <c r="G69" s="2"/>
      <c r="H69" s="57"/>
      <c r="I69" s="2"/>
      <c r="J69" s="2"/>
      <c r="K69" s="2"/>
      <c r="L69" s="2"/>
      <c r="M69" s="2"/>
      <c r="N69" s="2"/>
      <c r="O69" s="2"/>
      <c r="P69" s="2"/>
      <c r="Q69" s="2"/>
      <c r="R69" s="2"/>
      <c r="S69" s="2"/>
      <c r="T69" s="2"/>
      <c r="U69" s="2"/>
      <c r="V69" s="2"/>
      <c r="W69" s="2"/>
      <c r="X69" s="2"/>
      <c r="Y69" s="2"/>
      <c r="Z69" s="2"/>
      <c r="AA69" s="2"/>
      <c r="AB69" s="2"/>
      <c r="AC69" s="2"/>
    </row>
    <row r="70" spans="2:29" ht="15.75">
      <c r="B70" s="2"/>
      <c r="C70" s="57"/>
      <c r="D70" s="57"/>
      <c r="E70" s="2"/>
      <c r="F70" s="2"/>
      <c r="G70" s="2"/>
      <c r="H70" s="57"/>
      <c r="I70" s="2"/>
      <c r="J70" s="2"/>
      <c r="K70" s="2"/>
      <c r="L70" s="2"/>
      <c r="M70" s="2"/>
      <c r="N70" s="2"/>
      <c r="O70" s="2"/>
      <c r="P70" s="2"/>
      <c r="Q70" s="2"/>
      <c r="R70" s="2"/>
      <c r="S70" s="2"/>
      <c r="T70" s="2"/>
      <c r="U70" s="2"/>
      <c r="V70" s="2"/>
      <c r="W70" s="2"/>
      <c r="X70" s="2"/>
      <c r="Y70" s="2"/>
      <c r="Z70" s="2"/>
      <c r="AA70" s="2"/>
      <c r="AB70" s="2"/>
      <c r="AC70" s="2"/>
    </row>
    <row r="71" spans="2:29" ht="15.75">
      <c r="B71" s="2"/>
      <c r="C71" s="57"/>
      <c r="D71" s="57"/>
      <c r="E71" s="2"/>
      <c r="F71" s="2"/>
      <c r="G71" s="2"/>
      <c r="H71" s="2"/>
      <c r="I71" s="2"/>
      <c r="J71" s="2"/>
      <c r="K71" s="2"/>
      <c r="L71" s="2"/>
      <c r="M71" s="2"/>
      <c r="N71" s="2"/>
      <c r="O71" s="2"/>
      <c r="P71" s="2"/>
      <c r="Q71" s="2"/>
      <c r="R71" s="2"/>
      <c r="S71" s="2"/>
      <c r="T71" s="2"/>
      <c r="U71" s="2"/>
      <c r="V71" s="2"/>
      <c r="W71" s="2"/>
      <c r="X71" s="2"/>
      <c r="Y71" s="2"/>
      <c r="Z71" s="2"/>
      <c r="AA71" s="2"/>
      <c r="AB71" s="2"/>
      <c r="AC71" s="2"/>
    </row>
    <row r="72" spans="2:29" ht="15.75">
      <c r="B72" s="2"/>
      <c r="C72" s="57"/>
      <c r="D72" s="57"/>
      <c r="E72" s="2"/>
      <c r="F72" s="2"/>
      <c r="G72" s="2"/>
      <c r="H72" s="2"/>
      <c r="I72" s="2"/>
      <c r="J72" s="2"/>
      <c r="K72" s="2"/>
      <c r="L72" s="2"/>
      <c r="M72" s="2"/>
      <c r="N72" s="2"/>
      <c r="O72" s="2"/>
      <c r="P72" s="2"/>
      <c r="Q72" s="2"/>
      <c r="R72" s="2"/>
      <c r="S72" s="2"/>
      <c r="T72" s="2"/>
      <c r="U72" s="2"/>
      <c r="V72" s="2"/>
      <c r="W72" s="2"/>
      <c r="X72" s="2"/>
      <c r="Y72" s="2"/>
      <c r="Z72" s="2"/>
      <c r="AA72" s="2"/>
      <c r="AB72" s="2"/>
      <c r="AC72" s="2"/>
    </row>
    <row r="73" spans="2:29" ht="15.75">
      <c r="B73" s="2"/>
      <c r="C73" s="57"/>
      <c r="D73" s="57"/>
      <c r="E73" s="2"/>
      <c r="F73" s="2"/>
      <c r="G73" s="2"/>
      <c r="H73" s="2"/>
      <c r="I73" s="2"/>
      <c r="J73" s="2"/>
      <c r="K73" s="2"/>
      <c r="L73" s="2"/>
      <c r="M73" s="2"/>
      <c r="N73" s="2"/>
      <c r="O73" s="2"/>
      <c r="P73" s="2"/>
      <c r="Q73" s="2"/>
      <c r="R73" s="2"/>
      <c r="S73" s="2"/>
      <c r="T73" s="2"/>
      <c r="U73" s="2"/>
      <c r="V73" s="2"/>
      <c r="W73" s="2"/>
      <c r="X73" s="2"/>
      <c r="Y73" s="2"/>
      <c r="Z73" s="2"/>
      <c r="AA73" s="2"/>
      <c r="AB73" s="2"/>
      <c r="AC73" s="2"/>
    </row>
    <row r="74" spans="2:29" ht="15.75">
      <c r="B74" s="2"/>
      <c r="C74" s="57"/>
      <c r="D74" s="57"/>
      <c r="E74" s="2"/>
      <c r="F74" s="2"/>
      <c r="G74" s="2"/>
      <c r="H74" s="2"/>
      <c r="I74" s="2"/>
      <c r="J74" s="2"/>
      <c r="K74" s="2"/>
      <c r="L74" s="2"/>
      <c r="M74" s="2"/>
      <c r="N74" s="2"/>
      <c r="O74" s="2"/>
      <c r="P74" s="2"/>
      <c r="Q74" s="2"/>
      <c r="R74" s="2"/>
      <c r="S74" s="2"/>
      <c r="T74" s="2"/>
      <c r="U74" s="2"/>
      <c r="V74" s="2"/>
      <c r="W74" s="2"/>
      <c r="X74" s="2"/>
      <c r="Y74" s="2"/>
      <c r="Z74" s="2"/>
      <c r="AA74" s="2"/>
      <c r="AB74" s="2"/>
      <c r="AC74" s="2"/>
    </row>
    <row r="75" spans="2:29" ht="15.75">
      <c r="B75" s="2"/>
      <c r="C75" s="57"/>
      <c r="D75" s="57"/>
      <c r="E75" s="2"/>
      <c r="F75" s="2"/>
      <c r="G75" s="2"/>
      <c r="H75" s="2"/>
      <c r="I75" s="2"/>
      <c r="J75" s="2"/>
      <c r="K75" s="2"/>
      <c r="L75" s="2"/>
      <c r="M75" s="2"/>
      <c r="N75" s="2"/>
      <c r="O75" s="2"/>
      <c r="P75" s="2"/>
      <c r="Q75" s="2"/>
      <c r="R75" s="2"/>
      <c r="S75" s="2"/>
      <c r="T75" s="2"/>
      <c r="U75" s="2"/>
      <c r="V75" s="2"/>
      <c r="W75" s="2"/>
      <c r="X75" s="2"/>
      <c r="Y75" s="2"/>
      <c r="Z75" s="2"/>
      <c r="AA75" s="2"/>
      <c r="AB75" s="2"/>
      <c r="AC75" s="2"/>
    </row>
    <row r="76" spans="2:29" ht="15.75">
      <c r="B76" s="2"/>
      <c r="C76" s="57"/>
      <c r="D76" s="57"/>
      <c r="E76" s="2"/>
      <c r="F76" s="2"/>
      <c r="G76" s="2"/>
      <c r="H76" s="2"/>
      <c r="I76" s="2"/>
      <c r="J76" s="2"/>
      <c r="K76" s="2"/>
      <c r="L76" s="2"/>
      <c r="M76" s="2"/>
      <c r="N76" s="2"/>
      <c r="O76" s="2"/>
      <c r="P76" s="2"/>
      <c r="Q76" s="2"/>
      <c r="R76" s="2"/>
      <c r="S76" s="2"/>
      <c r="T76" s="2"/>
      <c r="U76" s="2"/>
      <c r="V76" s="2"/>
      <c r="W76" s="2"/>
      <c r="X76" s="2"/>
      <c r="Y76" s="2"/>
      <c r="Z76" s="2"/>
      <c r="AA76" s="2"/>
      <c r="AB76" s="2"/>
      <c r="AC76" s="2"/>
    </row>
    <row r="77" spans="2:29" ht="15.75">
      <c r="B77" s="2"/>
      <c r="C77" s="57"/>
      <c r="D77" s="57"/>
      <c r="E77" s="2"/>
      <c r="F77" s="2"/>
      <c r="G77" s="2"/>
      <c r="H77" s="2"/>
      <c r="I77" s="2"/>
      <c r="J77" s="2"/>
      <c r="K77" s="2"/>
      <c r="L77" s="2"/>
      <c r="M77" s="2"/>
      <c r="N77" s="2"/>
      <c r="O77" s="2"/>
      <c r="P77" s="2"/>
      <c r="Q77" s="2"/>
      <c r="R77" s="2"/>
      <c r="S77" s="2"/>
      <c r="T77" s="2"/>
      <c r="U77" s="2"/>
      <c r="V77" s="2"/>
      <c r="W77" s="2"/>
      <c r="X77" s="2"/>
      <c r="Y77" s="2"/>
      <c r="Z77" s="2"/>
      <c r="AA77" s="2"/>
      <c r="AB77" s="2"/>
      <c r="AC77" s="2"/>
    </row>
    <row r="78" spans="2:29" ht="15.75">
      <c r="B78" s="2"/>
      <c r="C78" s="57"/>
      <c r="D78" s="57"/>
      <c r="E78" s="2"/>
      <c r="F78" s="2"/>
      <c r="G78" s="2"/>
      <c r="H78" s="2"/>
      <c r="I78" s="2"/>
      <c r="J78" s="2"/>
      <c r="K78" s="2"/>
      <c r="L78" s="2"/>
      <c r="M78" s="2"/>
      <c r="N78" s="2"/>
      <c r="O78" s="2"/>
      <c r="P78" s="2"/>
      <c r="Q78" s="2"/>
      <c r="R78" s="2"/>
      <c r="S78" s="2"/>
      <c r="T78" s="2"/>
      <c r="U78" s="2"/>
      <c r="V78" s="2"/>
      <c r="W78" s="2"/>
      <c r="X78" s="2"/>
      <c r="Y78" s="2"/>
      <c r="Z78" s="2"/>
      <c r="AA78" s="2"/>
      <c r="AB78" s="2"/>
      <c r="AC78" s="2"/>
    </row>
    <row r="79" spans="2:29" ht="15.75">
      <c r="B79" s="2"/>
      <c r="C79" s="57"/>
      <c r="D79" s="57"/>
      <c r="E79" s="2"/>
      <c r="F79" s="2"/>
      <c r="G79" s="2"/>
      <c r="H79" s="2"/>
      <c r="I79" s="2"/>
      <c r="J79" s="2"/>
      <c r="K79" s="2"/>
      <c r="L79" s="2"/>
      <c r="M79" s="2"/>
      <c r="N79" s="2"/>
      <c r="O79" s="2"/>
      <c r="P79" s="2"/>
      <c r="Q79" s="2"/>
      <c r="R79" s="2"/>
      <c r="S79" s="2"/>
      <c r="T79" s="2"/>
      <c r="U79" s="2"/>
      <c r="V79" s="2"/>
      <c r="W79" s="2"/>
      <c r="X79" s="2"/>
      <c r="Y79" s="2"/>
      <c r="Z79" s="2"/>
      <c r="AA79" s="2"/>
      <c r="AB79" s="2"/>
      <c r="AC79" s="2"/>
    </row>
    <row r="80" spans="2:29" ht="15.75">
      <c r="B80" s="2"/>
      <c r="C80" s="57"/>
      <c r="D80" s="57"/>
      <c r="E80" s="2"/>
      <c r="F80" s="2"/>
      <c r="G80" s="2"/>
      <c r="H80" s="2"/>
      <c r="I80" s="2"/>
      <c r="J80" s="2"/>
      <c r="K80" s="2"/>
      <c r="L80" s="2"/>
      <c r="M80" s="2"/>
      <c r="N80" s="2"/>
      <c r="O80" s="2"/>
      <c r="P80" s="2"/>
      <c r="Q80" s="2"/>
      <c r="R80" s="2"/>
      <c r="S80" s="2"/>
      <c r="T80" s="2"/>
      <c r="U80" s="2"/>
      <c r="V80" s="2"/>
      <c r="W80" s="2"/>
      <c r="X80" s="2"/>
      <c r="Y80" s="2"/>
      <c r="Z80" s="2"/>
      <c r="AA80" s="2"/>
      <c r="AB80" s="2"/>
      <c r="AC80" s="2"/>
    </row>
    <row r="81" spans="2:29" ht="15.75">
      <c r="B81" s="2"/>
      <c r="C81" s="57"/>
      <c r="D81" s="57"/>
      <c r="E81" s="2"/>
      <c r="F81" s="2"/>
      <c r="G81" s="2"/>
      <c r="H81" s="2"/>
      <c r="I81" s="2"/>
      <c r="J81" s="2"/>
      <c r="K81" s="2"/>
      <c r="L81" s="2"/>
      <c r="M81" s="2"/>
      <c r="N81" s="2"/>
      <c r="O81" s="2"/>
      <c r="P81" s="2"/>
      <c r="Q81" s="2"/>
      <c r="R81" s="2"/>
      <c r="S81" s="2"/>
      <c r="T81" s="2"/>
      <c r="U81" s="2"/>
      <c r="V81" s="2"/>
      <c r="W81" s="2"/>
      <c r="X81" s="2"/>
      <c r="Y81" s="2"/>
      <c r="Z81" s="2"/>
      <c r="AA81" s="2"/>
      <c r="AB81" s="2"/>
      <c r="AC81" s="2"/>
    </row>
    <row r="82" spans="2:29" ht="15.75">
      <c r="B82" s="2"/>
      <c r="C82" s="57"/>
      <c r="D82" s="57"/>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 r="B83" s="2"/>
      <c r="C83" s="57"/>
      <c r="D83" s="57"/>
      <c r="E83" s="2"/>
      <c r="F83" s="2"/>
      <c r="G83" s="2"/>
      <c r="H83" s="2"/>
      <c r="I83" s="2"/>
      <c r="J83" s="2"/>
      <c r="K83" s="2"/>
      <c r="L83" s="2"/>
      <c r="M83" s="2"/>
      <c r="N83" s="2"/>
      <c r="O83" s="2"/>
      <c r="P83" s="2"/>
      <c r="Q83" s="2"/>
      <c r="R83" s="2"/>
      <c r="S83" s="2"/>
      <c r="T83" s="2"/>
      <c r="U83" s="2"/>
      <c r="V83" s="2"/>
      <c r="W83" s="2"/>
      <c r="X83" s="2"/>
      <c r="Y83" s="2"/>
      <c r="Z83" s="2"/>
      <c r="AA83" s="2"/>
      <c r="AB83" s="2"/>
      <c r="AC83" s="2"/>
    </row>
    <row r="84" spans="2:29">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sheetData>
  <mergeCells count="1">
    <mergeCell ref="F7:H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C2:P47"/>
  <sheetViews>
    <sheetView workbookViewId="0"/>
  </sheetViews>
  <sheetFormatPr defaultColWidth="11.42578125" defaultRowHeight="15"/>
  <cols>
    <col min="1" max="1" width="3.140625" customWidth="1"/>
    <col min="2" max="2" width="2.42578125" customWidth="1"/>
    <col min="3" max="3" width="34.7109375" customWidth="1"/>
    <col min="4" max="4" width="26" customWidth="1"/>
    <col min="5" max="5" width="19" customWidth="1"/>
    <col min="6" max="6" width="22" customWidth="1"/>
    <col min="7" max="7" width="20.28515625" customWidth="1"/>
    <col min="9" max="9" width="28" customWidth="1"/>
    <col min="11" max="11" width="20.7109375" customWidth="1"/>
    <col min="12" max="12" width="16" customWidth="1"/>
  </cols>
  <sheetData>
    <row r="2" spans="3:10" ht="6.95" customHeight="1">
      <c r="C2" s="3"/>
    </row>
    <row r="3" spans="3:10" ht="21">
      <c r="C3" s="7" t="s">
        <v>24</v>
      </c>
      <c r="D3" s="8"/>
      <c r="E3" s="8"/>
      <c r="F3" s="8"/>
      <c r="G3" s="8"/>
      <c r="H3" s="8"/>
      <c r="I3" s="8"/>
    </row>
    <row r="4" spans="3:10" ht="15.75">
      <c r="C4" s="8" t="s">
        <v>302</v>
      </c>
      <c r="D4" s="8"/>
      <c r="E4" s="8"/>
      <c r="F4" s="8"/>
      <c r="G4" s="8"/>
      <c r="H4" s="8"/>
      <c r="I4" s="8"/>
    </row>
    <row r="5" spans="3:10" ht="15.75">
      <c r="C5" s="8"/>
      <c r="D5" s="8"/>
      <c r="E5" s="8"/>
      <c r="F5" s="8"/>
      <c r="G5" s="8"/>
      <c r="H5" s="8"/>
      <c r="I5" s="8"/>
    </row>
    <row r="6" spans="3:10" ht="15.75">
      <c r="C6" s="10" t="s">
        <v>25</v>
      </c>
      <c r="D6" s="11" t="s">
        <v>26</v>
      </c>
      <c r="E6" s="10" t="s">
        <v>222</v>
      </c>
      <c r="F6" s="10" t="s">
        <v>293</v>
      </c>
      <c r="G6" s="10" t="s">
        <v>294</v>
      </c>
      <c r="H6" s="19"/>
      <c r="I6" s="272" t="s">
        <v>33</v>
      </c>
      <c r="J6" s="272" t="s">
        <v>34</v>
      </c>
    </row>
    <row r="7" spans="3:10" ht="15.75">
      <c r="C7" s="12"/>
      <c r="D7" s="14"/>
      <c r="E7" s="12"/>
      <c r="F7" s="14"/>
      <c r="G7" s="12"/>
      <c r="H7" s="19"/>
    </row>
    <row r="8" spans="3:10" ht="15.75">
      <c r="C8" s="12" t="s">
        <v>256</v>
      </c>
      <c r="D8" s="270" t="s">
        <v>178</v>
      </c>
      <c r="E8" s="307">
        <f>SUM('3.Process Cost-Benefit'!F9:F64)</f>
        <v>4430000</v>
      </c>
      <c r="F8" s="308"/>
      <c r="G8" s="308"/>
      <c r="H8" s="267"/>
    </row>
    <row r="9" spans="3:10" ht="15.75">
      <c r="C9" s="268"/>
      <c r="D9" s="270" t="s">
        <v>179</v>
      </c>
      <c r="E9" s="307">
        <f>'3.Process Cost-Benefit'!F71</f>
        <v>6645000</v>
      </c>
      <c r="F9" s="307"/>
      <c r="G9" s="309"/>
      <c r="H9" s="266"/>
      <c r="I9" s="385" t="s">
        <v>287</v>
      </c>
      <c r="J9" s="385" t="s">
        <v>101</v>
      </c>
    </row>
    <row r="10" spans="3:10" ht="15.75">
      <c r="C10" s="268"/>
      <c r="D10" s="284" t="s">
        <v>7</v>
      </c>
      <c r="E10" s="307">
        <f>'3.Process Cost-Benefit'!F72</f>
        <v>100000</v>
      </c>
      <c r="F10" s="307"/>
      <c r="G10" s="309"/>
      <c r="H10" s="266"/>
    </row>
    <row r="11" spans="3:10" ht="15.75">
      <c r="C11" s="268"/>
      <c r="D11" s="270"/>
      <c r="E11" s="307"/>
      <c r="F11" s="307"/>
      <c r="G11" s="309"/>
      <c r="H11" s="266"/>
    </row>
    <row r="12" spans="3:10" ht="15.75">
      <c r="C12" s="389" t="s">
        <v>310</v>
      </c>
      <c r="D12" s="270" t="s">
        <v>30</v>
      </c>
      <c r="F12" s="307">
        <f>SUM('3.Process Cost-Benefit'!G10+'3.Process Cost-Benefit'!G17+'3.Process Cost-Benefit'!G24+'3.Process Cost-Benefit'!G30+'3.Process Cost-Benefit'!G37+'3.Process Cost-Benefit'!G44+'3.Process Cost-Benefit'!G51+'3.Process Cost-Benefit'!G59+'3.Process Cost-Benefit'!G65)</f>
        <v>620200</v>
      </c>
      <c r="G12" s="309"/>
      <c r="H12" s="266"/>
    </row>
    <row r="13" spans="3:10" ht="15.75">
      <c r="C13" s="268"/>
      <c r="D13" s="270" t="s">
        <v>180</v>
      </c>
      <c r="E13" s="307"/>
      <c r="F13" s="307">
        <f>10%*E28</f>
        <v>1117500</v>
      </c>
      <c r="G13" s="309"/>
      <c r="H13" s="266"/>
      <c r="I13" s="385" t="s">
        <v>191</v>
      </c>
      <c r="J13" s="385" t="s">
        <v>177</v>
      </c>
    </row>
    <row r="14" spans="3:10" ht="31.5">
      <c r="C14" s="268"/>
      <c r="D14" s="271" t="s">
        <v>182</v>
      </c>
      <c r="E14" s="310"/>
      <c r="F14" s="307">
        <f>10%*E28</f>
        <v>1117500</v>
      </c>
      <c r="G14" s="309"/>
      <c r="H14" s="266"/>
      <c r="I14" s="395" t="s">
        <v>192</v>
      </c>
      <c r="J14" s="385" t="s">
        <v>177</v>
      </c>
    </row>
    <row r="15" spans="3:10" ht="15.75">
      <c r="C15" s="268"/>
      <c r="D15" s="270" t="s">
        <v>181</v>
      </c>
      <c r="E15" s="307"/>
      <c r="F15" s="307">
        <f>'3.Process Cost-Benefit'!G70</f>
        <v>437600</v>
      </c>
      <c r="G15" s="309"/>
      <c r="H15" s="266"/>
    </row>
    <row r="16" spans="3:10" ht="15.75">
      <c r="C16" s="268"/>
      <c r="D16" s="270"/>
      <c r="E16" s="307"/>
      <c r="F16" s="307"/>
      <c r="G16" s="309"/>
      <c r="H16" s="266"/>
    </row>
    <row r="17" spans="3:10" ht="14.1" customHeight="1">
      <c r="C17" s="389" t="s">
        <v>291</v>
      </c>
      <c r="D17" s="270" t="s">
        <v>1</v>
      </c>
      <c r="E17" s="307"/>
      <c r="F17" s="307">
        <f>'3.Process Cost-Benefit'!H13</f>
        <v>19440750</v>
      </c>
      <c r="G17" s="309"/>
      <c r="H17" s="266"/>
    </row>
    <row r="18" spans="3:10" ht="15.75">
      <c r="C18" s="268"/>
      <c r="D18" s="270" t="s">
        <v>28</v>
      </c>
      <c r="E18" s="307"/>
      <c r="F18" s="307">
        <f>'3.Process Cost-Benefit'!H54</f>
        <v>0</v>
      </c>
      <c r="G18" s="309"/>
      <c r="H18" s="266"/>
    </row>
    <row r="19" spans="3:10" ht="15.75">
      <c r="C19" s="268"/>
      <c r="D19" s="270" t="s">
        <v>22</v>
      </c>
      <c r="E19" s="307"/>
      <c r="F19" s="307">
        <f>SUM('3.Process Cost-Benefit'!H12+'3.Process Cost-Benefit'!H19+'3.Process Cost-Benefit'!H26+'3.Process Cost-Benefit'!H32+'3.Process Cost-Benefit'!H39+'3.Process Cost-Benefit'!H46+'3.Process Cost-Benefit'!H53+'3.Process Cost-Benefit'!H61+'3.Process Cost-Benefit'!H67)</f>
        <v>237471.34539877297</v>
      </c>
      <c r="G19" s="309"/>
      <c r="H19" s="266"/>
    </row>
    <row r="20" spans="3:10" ht="15.75">
      <c r="C20" s="268"/>
      <c r="D20" s="270" t="s">
        <v>21</v>
      </c>
      <c r="E20" s="307"/>
      <c r="F20" s="307">
        <f>SUM('3.Process Cost-Benefit'!H11+'3.Process Cost-Benefit'!H18+'3.Process Cost-Benefit'!H25+'3.Process Cost-Benefit'!H31+'3.Process Cost-Benefit'!H38+'3.Process Cost-Benefit'!H45+'3.Process Cost-Benefit'!H52+'3.Process Cost-Benefit'!H60+'3.Process Cost-Benefit'!H66)</f>
        <v>20863716.340299383</v>
      </c>
      <c r="G20" s="309"/>
      <c r="H20" s="266"/>
    </row>
    <row r="21" spans="3:10" ht="15.75">
      <c r="C21" s="268"/>
      <c r="D21" s="387" t="s">
        <v>257</v>
      </c>
      <c r="E21" s="307"/>
      <c r="F21" s="307">
        <f>'3.Process Cost-Benefit'!H73</f>
        <v>565077.80000000005</v>
      </c>
      <c r="G21" s="309"/>
      <c r="H21" s="266"/>
    </row>
    <row r="22" spans="3:10" ht="15.75">
      <c r="C22" s="268"/>
      <c r="D22" s="388" t="s">
        <v>351</v>
      </c>
      <c r="E22" s="307"/>
      <c r="F22" s="307">
        <f>'3.Process Cost-Benefit'!H74</f>
        <v>757841.09227402846</v>
      </c>
      <c r="G22" s="309"/>
      <c r="H22" s="266"/>
    </row>
    <row r="23" spans="3:10" ht="15.75">
      <c r="C23" s="268"/>
      <c r="D23" s="270"/>
      <c r="E23" s="307"/>
      <c r="F23" s="307"/>
      <c r="G23" s="309"/>
      <c r="H23" s="266"/>
    </row>
    <row r="24" spans="3:10" ht="15.75">
      <c r="C24" s="389" t="s">
        <v>300</v>
      </c>
      <c r="D24" s="270" t="s">
        <v>4</v>
      </c>
      <c r="E24" s="307"/>
      <c r="F24" s="307"/>
      <c r="G24" s="309">
        <f>'3.Process Cost-Benefit'!I68</f>
        <v>39686347.04999999</v>
      </c>
      <c r="H24" s="266"/>
    </row>
    <row r="25" spans="3:10" ht="15.75">
      <c r="C25" s="268"/>
      <c r="D25" s="270" t="s">
        <v>183</v>
      </c>
      <c r="E25" s="307"/>
      <c r="F25" s="307"/>
      <c r="G25" s="309">
        <f>'3.Process Cost-Benefit'!I20</f>
        <v>5247809.8159509199</v>
      </c>
      <c r="H25" s="266"/>
    </row>
    <row r="26" spans="3:10" ht="15.75">
      <c r="C26" s="268"/>
      <c r="D26" s="270" t="s">
        <v>57</v>
      </c>
      <c r="E26" s="307"/>
      <c r="F26" s="307"/>
      <c r="G26" s="309">
        <f>'3.Process Cost-Benefit'!I55</f>
        <v>0</v>
      </c>
      <c r="H26" s="266"/>
    </row>
    <row r="27" spans="3:10" ht="16.5" thickBot="1">
      <c r="C27" s="438"/>
      <c r="D27" s="439"/>
      <c r="E27" s="444"/>
      <c r="F27" s="444"/>
      <c r="G27" s="445"/>
      <c r="H27" s="19"/>
    </row>
    <row r="28" spans="3:10" ht="16.5" thickTop="1">
      <c r="C28" s="436" t="s">
        <v>31</v>
      </c>
      <c r="D28" s="436"/>
      <c r="E28" s="437">
        <f>SUM(E8:E10)</f>
        <v>11175000</v>
      </c>
      <c r="F28" s="437">
        <f>SUM(F7:F27)</f>
        <v>45157656.577972174</v>
      </c>
      <c r="G28" s="437">
        <f>SUM(G7:G27)</f>
        <v>44934156.865950912</v>
      </c>
      <c r="H28" s="269"/>
    </row>
    <row r="29" spans="3:10" ht="15.75">
      <c r="C29" s="5"/>
      <c r="D29" s="19"/>
      <c r="E29" s="19"/>
      <c r="F29" s="101"/>
      <c r="G29" s="101"/>
      <c r="H29" s="101"/>
    </row>
    <row r="30" spans="3:10" ht="15.75">
      <c r="C30" s="35" t="s">
        <v>230</v>
      </c>
      <c r="D30" s="104">
        <f>G28</f>
        <v>44934156.865950912</v>
      </c>
      <c r="E30" s="104"/>
      <c r="F30" s="19"/>
      <c r="G30" s="19"/>
      <c r="H30" s="19"/>
      <c r="I30" s="19"/>
      <c r="J30" s="8"/>
    </row>
    <row r="31" spans="3:10" ht="31.5">
      <c r="C31" s="367" t="s">
        <v>285</v>
      </c>
      <c r="D31" s="104">
        <f>G28-F28</f>
        <v>-223499.71202126145</v>
      </c>
      <c r="E31" s="104"/>
      <c r="F31" s="19"/>
      <c r="G31" s="19"/>
      <c r="H31" s="19"/>
      <c r="I31" s="19"/>
      <c r="J31" s="8"/>
    </row>
    <row r="32" spans="3:10" ht="15.75">
      <c r="C32" s="51" t="s">
        <v>258</v>
      </c>
      <c r="D32" s="105">
        <f>E28</f>
        <v>11175000</v>
      </c>
      <c r="E32" s="105"/>
    </row>
    <row r="33" spans="3:16" ht="15.75">
      <c r="C33" s="35"/>
      <c r="D33" s="106"/>
      <c r="E33" s="106"/>
    </row>
    <row r="35" spans="3:16" ht="15.75">
      <c r="C35" s="107"/>
    </row>
    <row r="43" spans="3:16" ht="15.75">
      <c r="C43" s="160"/>
      <c r="D43" s="160"/>
      <c r="E43" s="160"/>
      <c r="F43" s="160"/>
      <c r="G43" s="160"/>
      <c r="H43" s="160"/>
      <c r="I43" s="160"/>
      <c r="J43" s="160"/>
      <c r="K43" s="160"/>
      <c r="L43" s="160"/>
      <c r="M43" s="160"/>
      <c r="N43" s="160"/>
      <c r="O43" s="160"/>
      <c r="P43" s="160"/>
    </row>
    <row r="44" spans="3:16" ht="15.75">
      <c r="C44" s="160"/>
      <c r="D44" s="160"/>
      <c r="E44" s="160"/>
      <c r="F44" s="160"/>
      <c r="G44" s="160"/>
      <c r="H44" s="160"/>
      <c r="I44" s="160"/>
      <c r="J44" s="160"/>
      <c r="K44" s="160"/>
      <c r="L44" s="160"/>
      <c r="M44" s="160"/>
      <c r="N44" s="160"/>
      <c r="O44" s="160"/>
      <c r="P44" s="160"/>
    </row>
    <row r="45" spans="3:16" ht="15.75">
      <c r="C45" s="160"/>
      <c r="D45" s="160"/>
      <c r="E45" s="160"/>
      <c r="F45" s="160"/>
      <c r="G45" s="160"/>
      <c r="H45" s="160"/>
      <c r="I45" s="160"/>
      <c r="J45" s="160"/>
      <c r="K45" s="160"/>
      <c r="L45" s="160"/>
      <c r="M45" s="160"/>
      <c r="N45" s="160"/>
      <c r="O45" s="160"/>
      <c r="P45" s="160"/>
    </row>
    <row r="46" spans="3:16" ht="15.75">
      <c r="C46" s="160"/>
      <c r="D46" s="160"/>
      <c r="E46" s="160"/>
      <c r="F46" s="161"/>
      <c r="G46" s="161"/>
      <c r="H46" s="161"/>
      <c r="I46" s="161"/>
      <c r="J46" s="161"/>
      <c r="K46" s="160"/>
      <c r="L46" s="160"/>
      <c r="M46" s="160"/>
      <c r="N46" s="160"/>
      <c r="O46" s="160"/>
      <c r="P46" s="160"/>
    </row>
    <row r="47" spans="3:16" ht="15.75">
      <c r="C47" s="160"/>
      <c r="D47" s="160"/>
      <c r="E47" s="160"/>
      <c r="F47" s="160"/>
      <c r="G47" s="160"/>
      <c r="H47" s="160"/>
      <c r="I47" s="160"/>
      <c r="J47" s="160"/>
      <c r="K47" s="160"/>
      <c r="L47" s="160"/>
      <c r="M47" s="160"/>
      <c r="N47" s="160"/>
      <c r="O47" s="160"/>
      <c r="P47" s="160"/>
    </row>
  </sheetData>
  <conditionalFormatting sqref="D30:E31">
    <cfRule type="colorScale" priority="2">
      <colorScale>
        <cfvo type="num" val="&quot;&lt;0&quot;"/>
        <cfvo type="num" val="&quot;&gt;0&quot;"/>
        <color rgb="FFFF0000"/>
        <color theme="6" tint="0.39997558519241921"/>
      </colorScale>
    </cfRule>
  </conditionalFormatting>
  <conditionalFormatting sqref="D31">
    <cfRule type="cellIs" dxfId="0" priority="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B3:N54"/>
  <sheetViews>
    <sheetView workbookViewId="0"/>
  </sheetViews>
  <sheetFormatPr defaultColWidth="11.42578125" defaultRowHeight="15"/>
  <cols>
    <col min="1" max="1" width="2.7109375" customWidth="1"/>
    <col min="2" max="2" width="2.28515625" customWidth="1"/>
    <col min="3" max="3" width="46" customWidth="1"/>
    <col min="4" max="4" width="14.85546875" customWidth="1"/>
    <col min="5" max="5" width="16" customWidth="1"/>
    <col min="6" max="6" width="15" customWidth="1"/>
    <col min="7" max="7" width="13.85546875" customWidth="1"/>
    <col min="8" max="8" width="16" customWidth="1"/>
    <col min="9" max="9" width="16.42578125" customWidth="1"/>
    <col min="10" max="10" width="14" customWidth="1"/>
    <col min="11" max="11" width="15.85546875" customWidth="1"/>
    <col min="13" max="13" width="11.140625" bestFit="1" customWidth="1"/>
  </cols>
  <sheetData>
    <row r="3" spans="2:12" ht="21">
      <c r="C3" s="113" t="s">
        <v>105</v>
      </c>
      <c r="D3" s="113"/>
    </row>
    <row r="4" spans="2:12" ht="18.75">
      <c r="C4" s="628" t="s">
        <v>232</v>
      </c>
      <c r="D4" s="321"/>
    </row>
    <row r="5" spans="2:12" ht="15.75">
      <c r="C5" s="35"/>
      <c r="D5" s="35"/>
    </row>
    <row r="6" spans="2:12" ht="15.75">
      <c r="D6" s="357" t="s">
        <v>252</v>
      </c>
      <c r="E6" s="357" t="s">
        <v>223</v>
      </c>
      <c r="F6" s="358" t="s">
        <v>224</v>
      </c>
      <c r="G6" s="358" t="s">
        <v>225</v>
      </c>
      <c r="H6" s="358" t="s">
        <v>226</v>
      </c>
      <c r="I6" s="358" t="s">
        <v>227</v>
      </c>
      <c r="J6" s="358" t="s">
        <v>228</v>
      </c>
      <c r="K6" s="358" t="s">
        <v>229</v>
      </c>
      <c r="L6" s="160"/>
    </row>
    <row r="7" spans="2:12" ht="15.75">
      <c r="B7" s="16"/>
      <c r="C7" s="35" t="s">
        <v>230</v>
      </c>
      <c r="D7" s="386">
        <v>0</v>
      </c>
      <c r="E7" s="120">
        <f>'3.Output '!$G$28</f>
        <v>44934156.865950912</v>
      </c>
      <c r="F7" s="120">
        <f>'3.Output '!$G$28</f>
        <v>44934156.865950912</v>
      </c>
      <c r="G7" s="120">
        <f>'3.Output '!$G$28</f>
        <v>44934156.865950912</v>
      </c>
      <c r="H7" s="120">
        <f>'3.Output '!$G$28</f>
        <v>44934156.865950912</v>
      </c>
      <c r="I7" s="120">
        <f>'3.Output '!$G$28</f>
        <v>44934156.865950912</v>
      </c>
      <c r="J7" s="120">
        <f>'3.Output '!$G$28</f>
        <v>44934156.865950912</v>
      </c>
      <c r="K7" s="120">
        <f>'3.Output '!$G$28</f>
        <v>44934156.865950912</v>
      </c>
      <c r="L7" s="160"/>
    </row>
    <row r="8" spans="2:12" ht="15.75">
      <c r="B8" s="16"/>
      <c r="C8" s="35"/>
      <c r="D8" s="596"/>
      <c r="E8" s="620"/>
      <c r="F8" s="598"/>
      <c r="G8" s="599"/>
      <c r="H8" s="600"/>
      <c r="I8" s="600"/>
      <c r="J8" s="600"/>
      <c r="K8" s="600"/>
      <c r="L8" s="341"/>
    </row>
    <row r="9" spans="2:12" ht="15.75">
      <c r="B9" s="16"/>
      <c r="C9" s="162" t="s">
        <v>107</v>
      </c>
      <c r="D9" s="621">
        <v>0</v>
      </c>
      <c r="E9" s="324">
        <f>-SUM('3.Output '!$F$17+'3.Output '!$F$18+'3.Output '!$F$21+'3.Output '!$F$22)</f>
        <v>-20763668.89227403</v>
      </c>
      <c r="F9" s="324">
        <f>-SUM('3.Output '!$F$17+'3.Output '!$F$18+'3.Output '!$F$21+'3.Output '!$F$22)</f>
        <v>-20763668.89227403</v>
      </c>
      <c r="G9" s="324">
        <f>-SUM('3.Output '!$F$17+'3.Output '!$F$18+'3.Output '!$F$21+'3.Output '!$F$22)</f>
        <v>-20763668.89227403</v>
      </c>
      <c r="H9" s="324">
        <f>-SUM('3.Output '!$F$17+'3.Output '!$F$18+'3.Output '!$F$21+'3.Output '!$F$22)</f>
        <v>-20763668.89227403</v>
      </c>
      <c r="I9" s="324">
        <f>-SUM('3.Output '!$F$17+'3.Output '!$F$18+'3.Output '!$F$21+'3.Output '!$F$22)</f>
        <v>-20763668.89227403</v>
      </c>
      <c r="J9" s="324">
        <f>-SUM('3.Output '!$F$17+'3.Output '!$F$18+'3.Output '!$F$21+'3.Output '!$F$22)</f>
        <v>-20763668.89227403</v>
      </c>
      <c r="K9" s="324">
        <f>-SUM('3.Output '!$F$17+'3.Output '!$F$18+'3.Output '!$F$21+'3.Output '!$F$22)</f>
        <v>-20763668.89227403</v>
      </c>
      <c r="L9" s="341"/>
    </row>
    <row r="10" spans="2:12" ht="16.5" thickBot="1">
      <c r="C10" s="331" t="s">
        <v>110</v>
      </c>
      <c r="D10" s="622">
        <f>D9+D7</f>
        <v>0</v>
      </c>
      <c r="E10" s="604">
        <f>SUM(E7+E9)</f>
        <v>24170487.973676883</v>
      </c>
      <c r="F10" s="604">
        <f t="shared" ref="F10:K10" si="0">F7+F9</f>
        <v>24170487.973676883</v>
      </c>
      <c r="G10" s="604">
        <f t="shared" si="0"/>
        <v>24170487.973676883</v>
      </c>
      <c r="H10" s="604">
        <f t="shared" si="0"/>
        <v>24170487.973676883</v>
      </c>
      <c r="I10" s="604">
        <f t="shared" si="0"/>
        <v>24170487.973676883</v>
      </c>
      <c r="J10" s="604">
        <f t="shared" si="0"/>
        <v>24170487.973676883</v>
      </c>
      <c r="K10" s="604">
        <f t="shared" si="0"/>
        <v>24170487.973676883</v>
      </c>
      <c r="L10" s="341"/>
    </row>
    <row r="11" spans="2:12" ht="16.5" thickTop="1">
      <c r="C11" s="84"/>
      <c r="D11" s="623"/>
      <c r="E11" s="606"/>
      <c r="F11" s="607"/>
      <c r="G11" s="606"/>
      <c r="H11" s="608"/>
      <c r="I11" s="608"/>
      <c r="J11" s="609"/>
      <c r="K11" s="608"/>
      <c r="L11" s="341"/>
    </row>
    <row r="12" spans="2:12" ht="15.75">
      <c r="C12" s="162" t="s">
        <v>108</v>
      </c>
      <c r="D12" s="621">
        <v>0</v>
      </c>
      <c r="E12" s="324">
        <f>-SUM('3.Output '!F13+'3.Output '!F14+'3.Output '!F15+'3.Output '!F19+'3.Output '!F20)</f>
        <v>-23773787.685698155</v>
      </c>
      <c r="F12" s="324">
        <f>-SUM('3.Output '!$F$13+'3.Output '!$F$15+'3.Output '!$F$19+'3.Output '!$F$20)</f>
        <v>-22656287.685698155</v>
      </c>
      <c r="G12" s="324">
        <f>-SUM('3.Output '!$F$13+'3.Output '!$F$15+'3.Output '!$F$19+'3.Output '!$F$20)</f>
        <v>-22656287.685698155</v>
      </c>
      <c r="H12" s="324">
        <f>-SUM('3.Output '!$F$13+'3.Output '!$F$15+'3.Output '!$F$19+'3.Output '!$F$20)</f>
        <v>-22656287.685698155</v>
      </c>
      <c r="I12" s="324">
        <f>-SUM('3.Output '!$F$13+'3.Output '!$F$15+'3.Output '!$F$19+'3.Output '!$F$20)</f>
        <v>-22656287.685698155</v>
      </c>
      <c r="J12" s="324">
        <f>-SUM('3.Output '!$F$13+'3.Output '!$F$15+'3.Output '!$F$19+'3.Output '!$F$20)</f>
        <v>-22656287.685698155</v>
      </c>
      <c r="K12" s="324">
        <f>-SUM('3.Output '!$F$13+'3.Output '!$F$15+'3.Output '!$F$19+'3.Output '!$F$20)</f>
        <v>-22656287.685698155</v>
      </c>
      <c r="L12" s="341"/>
    </row>
    <row r="13" spans="2:12" ht="16.5" thickBot="1">
      <c r="C13" s="331" t="s">
        <v>102</v>
      </c>
      <c r="D13" s="604">
        <f>D10+D12</f>
        <v>0</v>
      </c>
      <c r="E13" s="604">
        <f>E10+E12</f>
        <v>396700.28797872737</v>
      </c>
      <c r="F13" s="604">
        <f t="shared" ref="F13:K13" si="1">F10+F12</f>
        <v>1514200.2879787274</v>
      </c>
      <c r="G13" s="604">
        <f t="shared" si="1"/>
        <v>1514200.2879787274</v>
      </c>
      <c r="H13" s="604">
        <f t="shared" si="1"/>
        <v>1514200.2879787274</v>
      </c>
      <c r="I13" s="604">
        <f t="shared" si="1"/>
        <v>1514200.2879787274</v>
      </c>
      <c r="J13" s="604">
        <f t="shared" si="1"/>
        <v>1514200.2879787274</v>
      </c>
      <c r="K13" s="604">
        <f t="shared" si="1"/>
        <v>1514200.2879787274</v>
      </c>
      <c r="L13" s="341"/>
    </row>
    <row r="14" spans="2:12" ht="16.5" thickTop="1">
      <c r="C14" s="84"/>
      <c r="D14" s="623"/>
      <c r="E14" s="606"/>
      <c r="F14" s="607"/>
      <c r="G14" s="606"/>
      <c r="H14" s="608"/>
      <c r="I14" s="608"/>
      <c r="J14" s="609"/>
      <c r="K14" s="608"/>
      <c r="L14" s="341"/>
    </row>
    <row r="15" spans="2:12" ht="15.75">
      <c r="C15" s="162" t="s">
        <v>109</v>
      </c>
      <c r="D15" s="621">
        <v>0</v>
      </c>
      <c r="E15" s="602">
        <f>-'3.Output '!$F$12</f>
        <v>-620200</v>
      </c>
      <c r="F15" s="602">
        <f>-'3.Output '!$F$12</f>
        <v>-620200</v>
      </c>
      <c r="G15" s="602">
        <f>-'3.Output '!$F$12</f>
        <v>-620200</v>
      </c>
      <c r="H15" s="602">
        <f>-'3.Output '!$F$12</f>
        <v>-620200</v>
      </c>
      <c r="I15" s="602">
        <f>-'3.Output '!$F$12</f>
        <v>-620200</v>
      </c>
      <c r="J15" s="602">
        <f>-'3.Output '!$F$12</f>
        <v>-620200</v>
      </c>
      <c r="K15" s="602">
        <f>-'3.Output '!$F$12</f>
        <v>-620200</v>
      </c>
      <c r="L15" s="341"/>
    </row>
    <row r="16" spans="2:12" ht="16.5" thickBot="1">
      <c r="C16" s="331" t="s">
        <v>103</v>
      </c>
      <c r="D16" s="604">
        <f>D13+D15</f>
        <v>0</v>
      </c>
      <c r="E16" s="604">
        <f>E13+E15</f>
        <v>-223499.71202127263</v>
      </c>
      <c r="F16" s="604">
        <f t="shared" ref="F16:K16" si="2">F13+F15</f>
        <v>894000.28797872737</v>
      </c>
      <c r="G16" s="604">
        <f t="shared" si="2"/>
        <v>894000.28797872737</v>
      </c>
      <c r="H16" s="604">
        <f t="shared" si="2"/>
        <v>894000.28797872737</v>
      </c>
      <c r="I16" s="604">
        <f t="shared" si="2"/>
        <v>894000.28797872737</v>
      </c>
      <c r="J16" s="604">
        <f t="shared" si="2"/>
        <v>894000.28797872737</v>
      </c>
      <c r="K16" s="604">
        <f t="shared" si="2"/>
        <v>894000.28797872737</v>
      </c>
      <c r="L16" s="341"/>
    </row>
    <row r="17" spans="2:14" ht="16.5" thickTop="1">
      <c r="C17" s="84"/>
      <c r="D17" s="623"/>
      <c r="E17" s="606"/>
      <c r="F17" s="607"/>
      <c r="G17" s="608"/>
      <c r="H17" s="610"/>
      <c r="I17" s="611"/>
      <c r="J17" s="609"/>
      <c r="K17" s="608"/>
      <c r="L17" s="341"/>
    </row>
    <row r="18" spans="2:14" ht="15.75">
      <c r="C18" s="290" t="s">
        <v>111</v>
      </c>
      <c r="D18" s="624">
        <v>0</v>
      </c>
      <c r="E18" s="613">
        <v>0</v>
      </c>
      <c r="F18" s="613">
        <v>0</v>
      </c>
      <c r="G18" s="613">
        <v>0</v>
      </c>
      <c r="H18" s="613">
        <v>0</v>
      </c>
      <c r="I18" s="613">
        <v>0</v>
      </c>
      <c r="J18" s="613">
        <v>0</v>
      </c>
      <c r="K18" s="613">
        <v>0</v>
      </c>
      <c r="L18" s="341"/>
      <c r="M18" s="311" t="s">
        <v>245</v>
      </c>
    </row>
    <row r="19" spans="2:14" ht="16.5" thickBot="1">
      <c r="C19" s="337" t="s">
        <v>104</v>
      </c>
      <c r="D19" s="615">
        <f>D16+D18</f>
        <v>0</v>
      </c>
      <c r="E19" s="615">
        <f>E16+E18</f>
        <v>-223499.71202127263</v>
      </c>
      <c r="F19" s="615">
        <f t="shared" ref="F19:K19" si="3">F16+F18</f>
        <v>894000.28797872737</v>
      </c>
      <c r="G19" s="615">
        <f t="shared" si="3"/>
        <v>894000.28797872737</v>
      </c>
      <c r="H19" s="615">
        <f t="shared" si="3"/>
        <v>894000.28797872737</v>
      </c>
      <c r="I19" s="615">
        <f t="shared" si="3"/>
        <v>894000.28797872737</v>
      </c>
      <c r="J19" s="615">
        <f t="shared" si="3"/>
        <v>894000.28797872737</v>
      </c>
      <c r="K19" s="615">
        <f t="shared" si="3"/>
        <v>894000.28797872737</v>
      </c>
      <c r="L19" s="341"/>
    </row>
    <row r="20" spans="2:14" ht="16.5" thickTop="1">
      <c r="C20" s="338"/>
      <c r="D20" s="625"/>
      <c r="E20" s="617"/>
      <c r="F20" s="618"/>
      <c r="G20" s="618"/>
      <c r="H20" s="618"/>
      <c r="I20" s="618"/>
      <c r="J20" s="618"/>
      <c r="K20" s="618"/>
      <c r="L20" s="341"/>
    </row>
    <row r="21" spans="2:14" ht="15.75">
      <c r="B21" s="223"/>
      <c r="C21" s="328" t="s">
        <v>246</v>
      </c>
      <c r="D21" s="624">
        <v>0</v>
      </c>
      <c r="E21" s="324">
        <f t="shared" ref="E21:K21" si="4">-IF(E19&gt;200000,25%*(E19-200000)+40000,IF(E19&gt;0, 20%*E19,"0"))</f>
        <v>0</v>
      </c>
      <c r="F21" s="324">
        <f t="shared" si="4"/>
        <v>-213500.07199468184</v>
      </c>
      <c r="G21" s="324">
        <f t="shared" si="4"/>
        <v>-213500.07199468184</v>
      </c>
      <c r="H21" s="324">
        <f t="shared" si="4"/>
        <v>-213500.07199468184</v>
      </c>
      <c r="I21" s="324">
        <f t="shared" si="4"/>
        <v>-213500.07199468184</v>
      </c>
      <c r="J21" s="324">
        <f t="shared" si="4"/>
        <v>-213500.07199468184</v>
      </c>
      <c r="K21" s="324">
        <f t="shared" si="4"/>
        <v>-213500.07199468184</v>
      </c>
      <c r="L21" s="341"/>
      <c r="M21" s="311" t="s">
        <v>247</v>
      </c>
    </row>
    <row r="22" spans="2:14" ht="16.5" thickBot="1">
      <c r="B22" s="223"/>
      <c r="C22" s="337" t="s">
        <v>304</v>
      </c>
      <c r="D22" s="615">
        <f t="shared" ref="D22:K22" si="5">D19+D21</f>
        <v>0</v>
      </c>
      <c r="E22" s="615">
        <f t="shared" si="5"/>
        <v>-223499.71202127263</v>
      </c>
      <c r="F22" s="615">
        <f t="shared" si="5"/>
        <v>680500.21598404553</v>
      </c>
      <c r="G22" s="615">
        <f t="shared" si="5"/>
        <v>680500.21598404553</v>
      </c>
      <c r="H22" s="615">
        <f t="shared" si="5"/>
        <v>680500.21598404553</v>
      </c>
      <c r="I22" s="615">
        <f t="shared" si="5"/>
        <v>680500.21598404553</v>
      </c>
      <c r="J22" s="615">
        <f t="shared" si="5"/>
        <v>680500.21598404553</v>
      </c>
      <c r="K22" s="615">
        <f t="shared" si="5"/>
        <v>680500.21598404553</v>
      </c>
      <c r="L22" s="341"/>
    </row>
    <row r="23" spans="2:14" ht="16.5" thickTop="1">
      <c r="E23" s="287"/>
      <c r="F23" s="288"/>
      <c r="G23" s="288"/>
      <c r="H23" s="289"/>
      <c r="I23" s="289"/>
      <c r="J23" s="289"/>
      <c r="K23" s="288"/>
      <c r="L23" s="160"/>
      <c r="N23" s="188"/>
    </row>
    <row r="24" spans="2:14" ht="15.75">
      <c r="C24" s="286"/>
      <c r="D24" s="286"/>
      <c r="E24" s="287"/>
      <c r="F24" s="288"/>
      <c r="G24" s="288"/>
      <c r="H24" s="289"/>
      <c r="I24" s="289"/>
      <c r="J24" s="289"/>
      <c r="K24" s="288"/>
      <c r="L24" s="160"/>
      <c r="M24" s="360"/>
    </row>
    <row r="25" spans="2:14">
      <c r="K25" s="283"/>
    </row>
    <row r="26" spans="2:14" ht="18.75">
      <c r="C26" s="322" t="s">
        <v>231</v>
      </c>
      <c r="D26" s="322"/>
      <c r="M26" s="361"/>
    </row>
    <row r="27" spans="2:14">
      <c r="M27" s="234"/>
    </row>
    <row r="28" spans="2:14" ht="15.75">
      <c r="D28" s="358" t="s">
        <v>252</v>
      </c>
      <c r="E28" s="358" t="s">
        <v>223</v>
      </c>
      <c r="F28" s="358" t="s">
        <v>224</v>
      </c>
      <c r="G28" s="358" t="s">
        <v>225</v>
      </c>
      <c r="H28" s="358" t="s">
        <v>226</v>
      </c>
      <c r="I28" s="358" t="s">
        <v>227</v>
      </c>
      <c r="J28" s="358" t="s">
        <v>228</v>
      </c>
      <c r="K28" s="358" t="s">
        <v>229</v>
      </c>
    </row>
    <row r="29" spans="2:14" ht="15.75">
      <c r="C29" s="35" t="s">
        <v>233</v>
      </c>
      <c r="D29" s="35"/>
      <c r="E29" s="120"/>
      <c r="F29" s="16"/>
      <c r="G29" s="35"/>
      <c r="H29" s="160"/>
      <c r="I29" s="160"/>
      <c r="J29" s="160"/>
      <c r="K29" s="160"/>
    </row>
    <row r="30" spans="2:14" ht="15.75">
      <c r="C30" s="327" t="s">
        <v>234</v>
      </c>
      <c r="D30" s="368">
        <v>0</v>
      </c>
      <c r="E30" s="324">
        <f t="shared" ref="E30:K30" si="6">E22</f>
        <v>-223499.71202127263</v>
      </c>
      <c r="F30" s="324">
        <f t="shared" si="6"/>
        <v>680500.21598404553</v>
      </c>
      <c r="G30" s="324">
        <f t="shared" si="6"/>
        <v>680500.21598404553</v>
      </c>
      <c r="H30" s="324">
        <f t="shared" si="6"/>
        <v>680500.21598404553</v>
      </c>
      <c r="I30" s="324">
        <f t="shared" si="6"/>
        <v>680500.21598404553</v>
      </c>
      <c r="J30" s="324">
        <f t="shared" si="6"/>
        <v>680500.21598404553</v>
      </c>
      <c r="K30" s="324">
        <f t="shared" si="6"/>
        <v>680500.21598404553</v>
      </c>
      <c r="M30" s="234"/>
    </row>
    <row r="31" spans="2:14" ht="15.75">
      <c r="C31" s="329" t="s">
        <v>243</v>
      </c>
      <c r="D31" s="375"/>
      <c r="E31" s="325"/>
      <c r="F31" s="339"/>
      <c r="G31" s="340"/>
      <c r="H31" s="341"/>
      <c r="I31" s="341"/>
      <c r="J31" s="323"/>
      <c r="K31" s="341"/>
      <c r="M31" s="234"/>
    </row>
    <row r="32" spans="2:14" ht="15.75">
      <c r="C32" s="327" t="s">
        <v>30</v>
      </c>
      <c r="D32" s="376">
        <v>0</v>
      </c>
      <c r="E32" s="324">
        <f t="shared" ref="E32:K32" si="7">-E15</f>
        <v>620200</v>
      </c>
      <c r="F32" s="324">
        <f t="shared" si="7"/>
        <v>620200</v>
      </c>
      <c r="G32" s="324">
        <f t="shared" si="7"/>
        <v>620200</v>
      </c>
      <c r="H32" s="324">
        <f t="shared" si="7"/>
        <v>620200</v>
      </c>
      <c r="I32" s="324">
        <f t="shared" si="7"/>
        <v>620200</v>
      </c>
      <c r="J32" s="324">
        <f t="shared" si="7"/>
        <v>620200</v>
      </c>
      <c r="K32" s="324">
        <f t="shared" si="7"/>
        <v>620200</v>
      </c>
      <c r="L32" s="160"/>
      <c r="M32" s="234"/>
    </row>
    <row r="33" spans="2:13" ht="16.5" thickBot="1">
      <c r="C33" s="330" t="s">
        <v>235</v>
      </c>
      <c r="D33" s="342">
        <f>SUM(D30:D32)</f>
        <v>0</v>
      </c>
      <c r="E33" s="342">
        <f>SUM(E30:E32)</f>
        <v>396700.28797872737</v>
      </c>
      <c r="F33" s="342">
        <f t="shared" ref="F33:K33" si="8">SUM(F30:F32)</f>
        <v>1300700.2159840455</v>
      </c>
      <c r="G33" s="342">
        <f t="shared" si="8"/>
        <v>1300700.2159840455</v>
      </c>
      <c r="H33" s="342">
        <f t="shared" si="8"/>
        <v>1300700.2159840455</v>
      </c>
      <c r="I33" s="342">
        <f t="shared" si="8"/>
        <v>1300700.2159840455</v>
      </c>
      <c r="J33" s="342">
        <f t="shared" si="8"/>
        <v>1300700.2159840455</v>
      </c>
      <c r="K33" s="342">
        <f t="shared" si="8"/>
        <v>1300700.2159840455</v>
      </c>
      <c r="L33" s="160"/>
      <c r="M33" s="234"/>
    </row>
    <row r="34" spans="2:13" ht="16.5" thickTop="1">
      <c r="C34" s="333"/>
      <c r="D34" s="369"/>
      <c r="E34" s="351"/>
      <c r="F34" s="343"/>
      <c r="G34" s="344"/>
      <c r="H34" s="344"/>
      <c r="I34" s="344"/>
      <c r="J34" s="352"/>
      <c r="K34" s="344"/>
      <c r="L34" s="160"/>
      <c r="M34" s="234"/>
    </row>
    <row r="35" spans="2:13" ht="15.75">
      <c r="C35" s="51" t="s">
        <v>236</v>
      </c>
      <c r="D35" s="370"/>
      <c r="E35" s="324"/>
      <c r="F35" s="341"/>
      <c r="G35" s="341"/>
      <c r="H35" s="341"/>
      <c r="I35" s="341"/>
      <c r="J35" s="324"/>
      <c r="K35" s="341"/>
      <c r="L35" s="160"/>
      <c r="M35" s="234"/>
    </row>
    <row r="36" spans="2:13" ht="15.75">
      <c r="C36" s="327" t="s">
        <v>237</v>
      </c>
      <c r="D36" s="349">
        <f>-'3.Output '!E28</f>
        <v>-11175000</v>
      </c>
      <c r="E36" s="362">
        <v>0</v>
      </c>
      <c r="F36" s="362">
        <v>0</v>
      </c>
      <c r="G36" s="362">
        <v>0</v>
      </c>
      <c r="H36" s="362">
        <v>0</v>
      </c>
      <c r="I36" s="362">
        <v>0</v>
      </c>
      <c r="J36" s="362">
        <v>0</v>
      </c>
      <c r="K36" s="362">
        <v>0</v>
      </c>
      <c r="L36" s="160"/>
      <c r="M36" s="234"/>
    </row>
    <row r="37" spans="2:13" ht="16.5" thickBot="1">
      <c r="C37" s="332" t="s">
        <v>238</v>
      </c>
      <c r="D37" s="350">
        <f>SUM(D36)</f>
        <v>-11175000</v>
      </c>
      <c r="E37" s="350">
        <f t="shared" ref="E37:K37" si="9">SUM(E36)</f>
        <v>0</v>
      </c>
      <c r="F37" s="350">
        <f t="shared" si="9"/>
        <v>0</v>
      </c>
      <c r="G37" s="350">
        <f t="shared" si="9"/>
        <v>0</v>
      </c>
      <c r="H37" s="350">
        <f t="shared" si="9"/>
        <v>0</v>
      </c>
      <c r="I37" s="350">
        <f t="shared" si="9"/>
        <v>0</v>
      </c>
      <c r="J37" s="350">
        <f t="shared" si="9"/>
        <v>0</v>
      </c>
      <c r="K37" s="350">
        <f t="shared" si="9"/>
        <v>0</v>
      </c>
      <c r="L37" s="160"/>
      <c r="M37" s="234"/>
    </row>
    <row r="38" spans="2:13" ht="16.5" thickTop="1">
      <c r="C38" s="334"/>
      <c r="D38" s="371"/>
      <c r="E38" s="345"/>
      <c r="F38" s="345"/>
      <c r="G38" s="345"/>
      <c r="H38" s="346"/>
      <c r="I38" s="347"/>
      <c r="J38" s="348"/>
      <c r="K38" s="345"/>
      <c r="L38" s="160"/>
      <c r="M38" s="234"/>
    </row>
    <row r="39" spans="2:13" ht="15.75">
      <c r="C39" s="286" t="s">
        <v>239</v>
      </c>
      <c r="D39" s="372"/>
      <c r="E39" s="353"/>
      <c r="F39" s="326"/>
      <c r="G39" s="326"/>
      <c r="H39" s="326"/>
      <c r="I39" s="326"/>
      <c r="J39" s="326"/>
      <c r="K39" s="326"/>
      <c r="L39" s="160"/>
      <c r="M39" s="234"/>
    </row>
    <row r="40" spans="2:13" ht="15.75">
      <c r="C40" s="328" t="s">
        <v>240</v>
      </c>
      <c r="D40" s="354">
        <v>0</v>
      </c>
      <c r="E40" s="354">
        <v>0</v>
      </c>
      <c r="F40" s="354">
        <v>0</v>
      </c>
      <c r="G40" s="354">
        <v>0</v>
      </c>
      <c r="H40" s="354">
        <v>0</v>
      </c>
      <c r="I40" s="354">
        <v>0</v>
      </c>
      <c r="J40" s="354">
        <v>0</v>
      </c>
      <c r="K40" s="354">
        <v>0</v>
      </c>
      <c r="L40" s="160"/>
      <c r="M40" s="294"/>
    </row>
    <row r="41" spans="2:13" ht="15.75">
      <c r="C41" s="328" t="s">
        <v>241</v>
      </c>
      <c r="D41" s="354">
        <v>0</v>
      </c>
      <c r="E41" s="354">
        <v>0</v>
      </c>
      <c r="F41" s="354">
        <v>0</v>
      </c>
      <c r="G41" s="354">
        <v>0</v>
      </c>
      <c r="H41" s="354">
        <v>0</v>
      </c>
      <c r="I41" s="354">
        <v>0</v>
      </c>
      <c r="J41" s="354">
        <v>0</v>
      </c>
      <c r="K41" s="354">
        <v>0</v>
      </c>
      <c r="L41" s="160"/>
      <c r="M41" s="234"/>
    </row>
    <row r="42" spans="2:13" ht="16.5" thickBot="1">
      <c r="B42" s="160"/>
      <c r="C42" s="332" t="s">
        <v>242</v>
      </c>
      <c r="D42" s="355">
        <f>SUM(D40:D41)</f>
        <v>0</v>
      </c>
      <c r="E42" s="355">
        <f>SUM(E40:E41)</f>
        <v>0</v>
      </c>
      <c r="F42" s="355">
        <f t="shared" ref="F42:K42" si="10">SUM(F40:F41)</f>
        <v>0</v>
      </c>
      <c r="G42" s="355">
        <f t="shared" si="10"/>
        <v>0</v>
      </c>
      <c r="H42" s="355">
        <f t="shared" si="10"/>
        <v>0</v>
      </c>
      <c r="I42" s="355">
        <f t="shared" si="10"/>
        <v>0</v>
      </c>
      <c r="J42" s="355">
        <f t="shared" si="10"/>
        <v>0</v>
      </c>
      <c r="K42" s="355">
        <f t="shared" si="10"/>
        <v>0</v>
      </c>
      <c r="L42" s="160"/>
    </row>
    <row r="43" spans="2:13" ht="16.5" thickTop="1">
      <c r="B43" s="160"/>
      <c r="C43" s="334"/>
      <c r="D43" s="371"/>
      <c r="E43" s="345"/>
      <c r="F43" s="345"/>
      <c r="G43" s="345"/>
      <c r="H43" s="345"/>
      <c r="I43" s="345"/>
      <c r="J43" s="345"/>
      <c r="K43" s="345"/>
      <c r="L43" s="160"/>
      <c r="M43" s="293"/>
    </row>
    <row r="44" spans="2:13" ht="16.5" thickBot="1">
      <c r="C44" s="335" t="s">
        <v>244</v>
      </c>
      <c r="D44" s="356">
        <f>SUM(D42+D37+D33)</f>
        <v>-11175000</v>
      </c>
      <c r="E44" s="356">
        <f>SUM(E42+E37+E33)</f>
        <v>396700.28797872737</v>
      </c>
      <c r="F44" s="356">
        <f t="shared" ref="F44:K44" si="11">SUM(F42+F37+F33)</f>
        <v>1300700.2159840455</v>
      </c>
      <c r="G44" s="356">
        <f t="shared" si="11"/>
        <v>1300700.2159840455</v>
      </c>
      <c r="H44" s="356">
        <f t="shared" si="11"/>
        <v>1300700.2159840455</v>
      </c>
      <c r="I44" s="356">
        <f t="shared" si="11"/>
        <v>1300700.2159840455</v>
      </c>
      <c r="J44" s="356">
        <f t="shared" si="11"/>
        <v>1300700.2159840455</v>
      </c>
      <c r="K44" s="356">
        <f t="shared" si="11"/>
        <v>1300700.2159840455</v>
      </c>
      <c r="L44" s="160"/>
    </row>
    <row r="45" spans="2:13" ht="16.5" thickTop="1">
      <c r="C45" s="336"/>
      <c r="D45" s="373"/>
      <c r="E45" s="291"/>
      <c r="F45" s="291"/>
      <c r="G45" s="291"/>
      <c r="H45" s="291"/>
      <c r="I45" s="291"/>
      <c r="J45" s="291"/>
      <c r="K45" s="291"/>
      <c r="L45" s="160"/>
    </row>
    <row r="46" spans="2:13" ht="15.75">
      <c r="C46" s="35" t="s">
        <v>248</v>
      </c>
      <c r="D46" s="359">
        <f>D44</f>
        <v>-11175000</v>
      </c>
      <c r="E46" s="287">
        <f>D46+E44</f>
        <v>-10778299.712021273</v>
      </c>
      <c r="F46" s="287">
        <f t="shared" ref="F46:K46" si="12">E46+F44</f>
        <v>-9477599.4960372262</v>
      </c>
      <c r="G46" s="287">
        <f t="shared" si="12"/>
        <v>-8176899.2800531806</v>
      </c>
      <c r="H46" s="287">
        <f t="shared" si="12"/>
        <v>-6876199.0640691351</v>
      </c>
      <c r="I46" s="287">
        <f t="shared" si="12"/>
        <v>-5575498.8480850896</v>
      </c>
      <c r="J46" s="287">
        <f t="shared" si="12"/>
        <v>-4274798.6321010441</v>
      </c>
      <c r="K46" s="287">
        <f t="shared" si="12"/>
        <v>-2974098.4161169985</v>
      </c>
      <c r="L46" s="160"/>
    </row>
    <row r="47" spans="2:13" ht="15.75">
      <c r="D47" s="374"/>
      <c r="E47" s="292"/>
      <c r="F47" s="288"/>
      <c r="G47" s="288"/>
      <c r="H47" s="289"/>
      <c r="I47" s="289"/>
      <c r="J47" s="289"/>
      <c r="K47" s="288"/>
      <c r="L47" s="160"/>
    </row>
    <row r="48" spans="2:13" ht="15.75">
      <c r="C48" s="363" t="s">
        <v>254</v>
      </c>
      <c r="D48" s="377">
        <f>D30+D37</f>
        <v>-11175000</v>
      </c>
      <c r="E48" s="121">
        <f>E33+E36</f>
        <v>396700.28797872737</v>
      </c>
      <c r="F48" s="121">
        <f t="shared" ref="F48:K48" si="13">F33+F36</f>
        <v>1300700.2159840455</v>
      </c>
      <c r="G48" s="121">
        <f t="shared" si="13"/>
        <v>1300700.2159840455</v>
      </c>
      <c r="H48" s="121">
        <f t="shared" si="13"/>
        <v>1300700.2159840455</v>
      </c>
      <c r="I48" s="121">
        <f t="shared" si="13"/>
        <v>1300700.2159840455</v>
      </c>
      <c r="J48" s="121">
        <f t="shared" si="13"/>
        <v>1300700.2159840455</v>
      </c>
      <c r="K48" s="121">
        <f t="shared" si="13"/>
        <v>1300700.2159840455</v>
      </c>
      <c r="L48" s="160"/>
      <c r="M48" s="382" t="s">
        <v>298</v>
      </c>
    </row>
    <row r="49" spans="3:13" ht="15.75">
      <c r="C49" s="49"/>
      <c r="D49" s="49"/>
      <c r="E49" s="35"/>
      <c r="F49" s="35"/>
      <c r="G49" s="35"/>
      <c r="H49" s="35"/>
      <c r="I49" s="35"/>
      <c r="J49" s="35"/>
      <c r="K49" s="35"/>
      <c r="L49" s="160"/>
    </row>
    <row r="50" spans="3:13" ht="15.75">
      <c r="L50" s="160"/>
      <c r="M50" s="107"/>
    </row>
    <row r="51" spans="3:13" ht="15.75">
      <c r="C51" s="366" t="s">
        <v>253</v>
      </c>
      <c r="D51" s="378">
        <v>0.12</v>
      </c>
      <c r="F51" s="16" t="s">
        <v>255</v>
      </c>
      <c r="L51" s="160"/>
      <c r="M51" s="385" t="s">
        <v>303</v>
      </c>
    </row>
    <row r="52" spans="3:13" ht="15.75">
      <c r="C52" s="35" t="s">
        <v>250</v>
      </c>
      <c r="D52" s="359">
        <f>NPV(D51,E48:K48)+D48</f>
        <v>-6046063.6770691061</v>
      </c>
      <c r="F52" s="379" t="s">
        <v>296</v>
      </c>
      <c r="G52" s="160"/>
      <c r="H52" s="160"/>
      <c r="I52" s="160"/>
      <c r="J52" s="160"/>
      <c r="K52" s="160"/>
      <c r="L52" s="160"/>
    </row>
    <row r="53" spans="3:13" ht="15.75">
      <c r="C53" s="35" t="s">
        <v>152</v>
      </c>
      <c r="D53" s="183">
        <f>IFERROR(IRR(D48:K48), "-")</f>
        <v>-6.7225731581748049E-2</v>
      </c>
      <c r="F53" s="626" t="s">
        <v>366</v>
      </c>
      <c r="G53" s="160"/>
      <c r="H53" s="160"/>
      <c r="I53" s="160"/>
      <c r="J53" s="160"/>
      <c r="K53" s="160"/>
      <c r="L53" s="160"/>
    </row>
    <row r="54" spans="3:13" ht="15.75">
      <c r="C54" s="35" t="s">
        <v>295</v>
      </c>
      <c r="D54" s="106">
        <f>(E22/-D37) *100%</f>
        <v>-1.9999974230091512E-2</v>
      </c>
      <c r="F54" s="16" t="s">
        <v>297</v>
      </c>
      <c r="L54" s="160"/>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M90"/>
  <sheetViews>
    <sheetView workbookViewId="0">
      <selection activeCell="C4" sqref="C4"/>
    </sheetView>
  </sheetViews>
  <sheetFormatPr defaultColWidth="11.42578125" defaultRowHeight="15"/>
  <cols>
    <col min="1" max="1" width="2.140625" customWidth="1"/>
    <col min="2" max="2" width="2.42578125" customWidth="1"/>
    <col min="3" max="3" width="29.28515625" customWidth="1"/>
    <col min="4" max="4" width="15.85546875" customWidth="1"/>
    <col min="5" max="5" width="13.85546875" bestFit="1" customWidth="1"/>
    <col min="6" max="6" width="17.28515625" customWidth="1"/>
    <col min="7" max="7" width="20.28515625" customWidth="1"/>
    <col min="8" max="8" width="13.7109375" customWidth="1"/>
    <col min="9" max="9" width="16.7109375" customWidth="1"/>
    <col min="10" max="10" width="16" customWidth="1"/>
    <col min="11" max="11" width="15.85546875" customWidth="1"/>
    <col min="12" max="12" width="19.7109375" customWidth="1"/>
    <col min="13" max="13" width="22" customWidth="1"/>
  </cols>
  <sheetData>
    <row r="1" spans="1:13" ht="15.75" thickBot="1"/>
    <row r="2" spans="1:13" ht="15.75">
      <c r="E2" s="115" t="s">
        <v>31</v>
      </c>
      <c r="F2" s="124" t="s">
        <v>100</v>
      </c>
      <c r="G2" s="124"/>
      <c r="H2" s="124"/>
      <c r="I2" s="124" t="s">
        <v>99</v>
      </c>
      <c r="J2" s="125"/>
      <c r="K2" s="126"/>
      <c r="M2" s="86" t="s">
        <v>43</v>
      </c>
    </row>
    <row r="3" spans="1:13" ht="21">
      <c r="C3" s="7" t="s">
        <v>92</v>
      </c>
      <c r="E3" s="118"/>
      <c r="F3" s="154">
        <f>E16</f>
        <v>259210000</v>
      </c>
      <c r="G3" s="154" t="s">
        <v>281</v>
      </c>
      <c r="H3" s="154" t="s">
        <v>1</v>
      </c>
      <c r="I3" s="154">
        <f>H22</f>
        <v>104956196.31901839</v>
      </c>
      <c r="J3" s="155" t="s">
        <v>39</v>
      </c>
      <c r="K3" s="117" t="s">
        <v>170</v>
      </c>
      <c r="M3" s="87" t="s">
        <v>40</v>
      </c>
    </row>
    <row r="4" spans="1:13" ht="15.75">
      <c r="C4" s="8" t="s">
        <v>93</v>
      </c>
      <c r="E4" s="118"/>
      <c r="F4" s="154"/>
      <c r="G4" s="154"/>
      <c r="H4" s="154"/>
      <c r="I4" s="154">
        <f>H35+H43</f>
        <v>11163522.699386504</v>
      </c>
      <c r="J4" s="155" t="s">
        <v>39</v>
      </c>
      <c r="K4" s="119" t="s">
        <v>137</v>
      </c>
      <c r="M4" s="88" t="s">
        <v>42</v>
      </c>
    </row>
    <row r="5" spans="1:13" ht="15.75">
      <c r="E5" s="118"/>
      <c r="F5" s="154"/>
      <c r="G5" s="154"/>
      <c r="H5" s="154"/>
      <c r="I5" s="297">
        <f>H57</f>
        <v>49270.207433742326</v>
      </c>
      <c r="J5" s="156" t="s">
        <v>39</v>
      </c>
      <c r="K5" s="117" t="s">
        <v>205</v>
      </c>
      <c r="M5" s="89" t="s">
        <v>41</v>
      </c>
    </row>
    <row r="6" spans="1:13" ht="15.75">
      <c r="E6" s="118"/>
      <c r="F6" s="154"/>
      <c r="G6" s="154"/>
      <c r="H6" s="154"/>
      <c r="I6" s="297">
        <f>H58</f>
        <v>234570765.19133925</v>
      </c>
      <c r="J6" s="156" t="s">
        <v>39</v>
      </c>
      <c r="K6" s="117" t="s">
        <v>144</v>
      </c>
      <c r="M6" s="89"/>
    </row>
    <row r="7" spans="1:13" ht="19.5" thickBot="1">
      <c r="D7" s="9"/>
      <c r="E7" s="170"/>
      <c r="F7" s="186"/>
      <c r="G7" s="186"/>
      <c r="H7" s="186"/>
      <c r="I7" s="274">
        <f>H75</f>
        <v>8819188.2333333306</v>
      </c>
      <c r="J7" s="187" t="s">
        <v>39</v>
      </c>
      <c r="K7" s="237" t="s">
        <v>142</v>
      </c>
      <c r="M7" s="36" t="s">
        <v>59</v>
      </c>
    </row>
    <row r="8" spans="1:13" ht="18.75">
      <c r="D8" s="9"/>
      <c r="E8" s="116"/>
      <c r="F8" s="154"/>
      <c r="G8" s="154"/>
      <c r="H8" s="154"/>
      <c r="I8" s="231"/>
      <c r="J8" s="155"/>
      <c r="K8" s="232"/>
    </row>
    <row r="9" spans="1:13" ht="18" customHeight="1">
      <c r="C9" s="90" t="s">
        <v>67</v>
      </c>
      <c r="D9" s="9"/>
      <c r="E9" s="171">
        <f>'Grass Processing'!E23</f>
        <v>259210000</v>
      </c>
      <c r="F9" s="421" t="s">
        <v>313</v>
      </c>
      <c r="I9" s="561"/>
      <c r="J9" s="561"/>
      <c r="K9" s="188"/>
      <c r="L9" s="561"/>
      <c r="M9" s="83"/>
    </row>
    <row r="10" spans="1:13" ht="30.95" customHeight="1">
      <c r="A10" s="42"/>
      <c r="B10" s="42"/>
      <c r="D10" s="90"/>
      <c r="E10" s="91">
        <f>'Grass Processing'!E24</f>
        <v>77763000</v>
      </c>
      <c r="F10" s="446" t="s">
        <v>312</v>
      </c>
      <c r="G10" s="653"/>
      <c r="H10" s="653"/>
      <c r="I10" s="653"/>
      <c r="J10" s="653"/>
      <c r="K10" s="653"/>
      <c r="L10" s="42"/>
    </row>
    <row r="11" spans="1:13" ht="15.75">
      <c r="A11" s="42"/>
      <c r="B11" s="42"/>
      <c r="C11" s="42"/>
      <c r="D11" s="42"/>
      <c r="E11" s="42"/>
      <c r="F11" s="42"/>
      <c r="G11" s="42"/>
      <c r="H11" s="42"/>
      <c r="I11" s="42"/>
      <c r="J11" s="42"/>
      <c r="K11" s="42"/>
      <c r="L11" s="42"/>
    </row>
    <row r="12" spans="1:13" ht="15.75">
      <c r="A12" s="42"/>
      <c r="B12" s="42"/>
      <c r="C12" s="31" t="s">
        <v>44</v>
      </c>
      <c r="D12" s="31" t="s">
        <v>25</v>
      </c>
      <c r="E12" s="31" t="s">
        <v>49</v>
      </c>
      <c r="F12" s="92"/>
      <c r="G12" s="93"/>
      <c r="H12" s="31" t="s">
        <v>50</v>
      </c>
      <c r="I12" s="92"/>
      <c r="J12" s="93"/>
      <c r="K12" s="35" t="s">
        <v>136</v>
      </c>
      <c r="L12" s="50" t="s">
        <v>33</v>
      </c>
    </row>
    <row r="13" spans="1:13" ht="15.75">
      <c r="A13" s="42"/>
      <c r="B13" s="42"/>
      <c r="C13" s="30"/>
      <c r="D13" s="30"/>
      <c r="E13" s="32" t="s">
        <v>38</v>
      </c>
      <c r="F13" s="33" t="s">
        <v>5</v>
      </c>
      <c r="G13" s="34" t="s">
        <v>14</v>
      </c>
      <c r="H13" s="32" t="s">
        <v>38</v>
      </c>
      <c r="I13" s="33" t="s">
        <v>5</v>
      </c>
      <c r="J13" s="34" t="s">
        <v>14</v>
      </c>
      <c r="K13" s="42"/>
      <c r="L13" s="42"/>
    </row>
    <row r="14" spans="1:13" ht="15.75">
      <c r="A14" s="42"/>
      <c r="B14" s="42"/>
      <c r="C14" s="26" t="s">
        <v>146</v>
      </c>
      <c r="D14" s="28"/>
      <c r="E14" s="130"/>
      <c r="F14" s="131"/>
      <c r="G14" s="132"/>
      <c r="H14" s="131"/>
      <c r="I14" s="131"/>
      <c r="J14" s="132"/>
      <c r="K14" s="227"/>
      <c r="L14" s="42"/>
    </row>
    <row r="15" spans="1:13" ht="15.75">
      <c r="A15" s="42"/>
      <c r="B15" s="42"/>
      <c r="C15" s="26"/>
      <c r="D15" s="21" t="s">
        <v>51</v>
      </c>
      <c r="E15" s="130"/>
      <c r="F15" s="131"/>
      <c r="G15" s="132"/>
      <c r="H15" s="131"/>
      <c r="I15" s="131"/>
      <c r="J15" s="132"/>
      <c r="K15" s="227"/>
      <c r="L15" s="42"/>
    </row>
    <row r="16" spans="1:13" ht="15.75">
      <c r="A16" s="42"/>
      <c r="B16" s="42"/>
      <c r="C16" s="85"/>
      <c r="D16" s="94"/>
      <c r="E16" s="133">
        <f>E9</f>
        <v>259210000</v>
      </c>
      <c r="F16" s="206" t="s">
        <v>39</v>
      </c>
      <c r="G16" s="447" t="s">
        <v>315</v>
      </c>
      <c r="H16" s="129">
        <f>E16+(E19*1000)</f>
        <v>477073619.6319018</v>
      </c>
      <c r="I16" s="131" t="s">
        <v>39</v>
      </c>
      <c r="J16" s="552" t="s">
        <v>308</v>
      </c>
      <c r="K16" s="227"/>
      <c r="L16" s="107"/>
    </row>
    <row r="17" spans="1:12" ht="15.75">
      <c r="A17" s="42"/>
      <c r="B17" s="42"/>
      <c r="C17" s="85"/>
      <c r="D17" s="22" t="s">
        <v>35</v>
      </c>
      <c r="E17" s="130"/>
      <c r="F17" s="131"/>
      <c r="G17" s="132"/>
      <c r="H17" s="131"/>
      <c r="I17" s="131"/>
      <c r="J17" s="132"/>
      <c r="K17" s="227"/>
      <c r="L17" s="42"/>
    </row>
    <row r="18" spans="1:12" ht="15.75">
      <c r="A18" s="42"/>
      <c r="B18" s="42"/>
      <c r="C18" s="85"/>
      <c r="D18" s="94"/>
      <c r="E18" s="136">
        <f>(Variables!E61/1000)*$E$16</f>
        <v>5184200</v>
      </c>
      <c r="F18" s="134" t="s">
        <v>45</v>
      </c>
      <c r="G18" s="135" t="s">
        <v>48</v>
      </c>
      <c r="H18" s="134"/>
      <c r="I18" s="134"/>
      <c r="J18" s="135"/>
      <c r="K18" s="227"/>
      <c r="L18" s="42"/>
    </row>
    <row r="19" spans="1:12" ht="15.75">
      <c r="A19" s="42"/>
      <c r="B19" s="42"/>
      <c r="C19" s="85"/>
      <c r="D19" s="94"/>
      <c r="E19" s="136">
        <f>((E9*'Grass Processing'!D8)/'Grass Processing'!E8-E9)/1000</f>
        <v>217863.61963190179</v>
      </c>
      <c r="F19" s="131" t="s">
        <v>46</v>
      </c>
      <c r="G19" s="135" t="s">
        <v>37</v>
      </c>
      <c r="H19" s="134"/>
      <c r="I19" s="131"/>
      <c r="J19" s="135"/>
      <c r="K19" s="227"/>
      <c r="L19" s="385" t="s">
        <v>314</v>
      </c>
    </row>
    <row r="20" spans="1:12" ht="15.75">
      <c r="A20" s="42"/>
      <c r="B20" s="42"/>
      <c r="C20" s="25" t="s">
        <v>53</v>
      </c>
      <c r="D20" s="17"/>
      <c r="E20" s="137"/>
      <c r="F20" s="134"/>
      <c r="G20" s="135"/>
      <c r="H20" s="134"/>
      <c r="I20" s="131"/>
      <c r="J20" s="135"/>
      <c r="K20" s="227"/>
      <c r="L20" s="42"/>
    </row>
    <row r="21" spans="1:12" ht="15.75">
      <c r="A21" s="42"/>
      <c r="B21" s="42"/>
      <c r="C21" s="27"/>
      <c r="D21" s="21" t="s">
        <v>51</v>
      </c>
      <c r="E21" s="137"/>
      <c r="F21" s="134"/>
      <c r="G21" s="135"/>
      <c r="H21" s="134"/>
      <c r="I21" s="134"/>
      <c r="J21" s="135"/>
      <c r="K21" s="426"/>
      <c r="L21" s="42"/>
    </row>
    <row r="22" spans="1:12" ht="18.75">
      <c r="A22" s="42"/>
      <c r="B22" s="42"/>
      <c r="C22" s="25"/>
      <c r="D22" s="94"/>
      <c r="E22" s="133">
        <f>H16</f>
        <v>477073619.6319018</v>
      </c>
      <c r="F22" s="134" t="s">
        <v>39</v>
      </c>
      <c r="G22" s="447" t="s">
        <v>311</v>
      </c>
      <c r="H22" s="129">
        <f>$E$22*K22</f>
        <v>104956196.31901839</v>
      </c>
      <c r="I22" s="134" t="s">
        <v>39</v>
      </c>
      <c r="J22" s="138" t="s">
        <v>170</v>
      </c>
      <c r="K22" s="229">
        <v>0.22</v>
      </c>
      <c r="L22" s="631" t="s">
        <v>372</v>
      </c>
    </row>
    <row r="23" spans="1:12" ht="15.75">
      <c r="A23" s="42"/>
      <c r="B23" s="42"/>
      <c r="C23" s="25"/>
      <c r="D23" s="94"/>
      <c r="E23" s="137"/>
      <c r="F23" s="134"/>
      <c r="G23" s="135"/>
      <c r="H23" s="129">
        <f>$E$22*K23</f>
        <v>372117423.31288344</v>
      </c>
      <c r="I23" s="134" t="s">
        <v>39</v>
      </c>
      <c r="J23" s="135" t="s">
        <v>54</v>
      </c>
      <c r="K23" s="229">
        <f>100%-K22</f>
        <v>0.78</v>
      </c>
      <c r="L23" s="42"/>
    </row>
    <row r="24" spans="1:12" ht="15.75">
      <c r="A24" s="42"/>
      <c r="B24" s="42"/>
      <c r="C24" s="25"/>
      <c r="D24" s="22" t="s">
        <v>35</v>
      </c>
      <c r="E24" s="137"/>
      <c r="F24" s="134"/>
      <c r="G24" s="135"/>
      <c r="H24" s="131"/>
      <c r="I24" s="134"/>
      <c r="J24" s="135"/>
      <c r="K24" s="227"/>
      <c r="L24" s="42"/>
    </row>
    <row r="25" spans="1:12" ht="15.75">
      <c r="A25" s="42"/>
      <c r="B25" s="42"/>
      <c r="C25" s="85"/>
      <c r="D25" s="94"/>
      <c r="E25" s="136">
        <f>(Variables!E64/1000)*$E$22</f>
        <v>2337660.7361963191</v>
      </c>
      <c r="F25" s="134" t="s">
        <v>45</v>
      </c>
      <c r="G25" s="135" t="s">
        <v>48</v>
      </c>
      <c r="H25" s="134"/>
      <c r="I25" s="134"/>
      <c r="J25" s="135"/>
      <c r="K25" s="227"/>
      <c r="L25" s="42"/>
    </row>
    <row r="26" spans="1:12" ht="15.75">
      <c r="A26" s="42"/>
      <c r="B26" s="42"/>
      <c r="C26" s="85"/>
      <c r="D26" s="94"/>
      <c r="E26" s="136">
        <f>(Variables!E65/1000)*$E$22</f>
        <v>0</v>
      </c>
      <c r="F26" s="131" t="s">
        <v>46</v>
      </c>
      <c r="G26" s="135" t="s">
        <v>37</v>
      </c>
      <c r="H26" s="134"/>
      <c r="I26" s="131"/>
      <c r="J26" s="135"/>
      <c r="K26" s="227"/>
      <c r="L26" s="42"/>
    </row>
    <row r="27" spans="1:12" ht="15.75">
      <c r="A27" s="42"/>
      <c r="B27" s="42"/>
      <c r="C27" s="29" t="s">
        <v>131</v>
      </c>
      <c r="D27" s="94"/>
      <c r="E27" s="130"/>
      <c r="F27" s="131"/>
      <c r="G27" s="132"/>
      <c r="H27" s="131"/>
      <c r="I27" s="131"/>
      <c r="J27" s="132"/>
      <c r="K27" s="227"/>
      <c r="L27" s="42"/>
    </row>
    <row r="28" spans="1:12" ht="15.75">
      <c r="A28" s="42"/>
      <c r="B28" s="42"/>
      <c r="C28" s="85"/>
      <c r="D28" s="21" t="s">
        <v>51</v>
      </c>
      <c r="E28" s="130"/>
      <c r="F28" s="131"/>
      <c r="G28" s="132"/>
      <c r="H28" s="131"/>
      <c r="I28" s="131"/>
      <c r="J28" s="132"/>
      <c r="K28" s="227"/>
      <c r="L28" s="42"/>
    </row>
    <row r="29" spans="1:12" ht="15.75">
      <c r="A29" s="42"/>
      <c r="B29" s="42"/>
      <c r="C29" s="29"/>
      <c r="D29" s="94"/>
      <c r="E29" s="139">
        <f>H23</f>
        <v>372117423.31288344</v>
      </c>
      <c r="F29" s="140" t="s">
        <v>39</v>
      </c>
      <c r="G29" s="141" t="s">
        <v>54</v>
      </c>
      <c r="H29" s="142">
        <f>E29</f>
        <v>372117423.31288344</v>
      </c>
      <c r="I29" s="143" t="s">
        <v>39</v>
      </c>
      <c r="J29" s="144" t="s">
        <v>54</v>
      </c>
      <c r="K29" s="227"/>
      <c r="L29" s="42"/>
    </row>
    <row r="30" spans="1:12" ht="15.75">
      <c r="A30" s="42"/>
      <c r="B30" s="42"/>
      <c r="C30" s="29"/>
      <c r="D30" s="22" t="s">
        <v>35</v>
      </c>
      <c r="E30" s="145"/>
      <c r="F30" s="140"/>
      <c r="G30" s="141"/>
      <c r="H30" s="143"/>
      <c r="I30" s="143"/>
      <c r="J30" s="144"/>
      <c r="K30" s="227"/>
      <c r="L30" s="42"/>
    </row>
    <row r="31" spans="1:12" ht="15.75">
      <c r="A31" s="42"/>
      <c r="B31" s="42"/>
      <c r="C31" s="29"/>
      <c r="D31" s="94"/>
      <c r="E31" s="136">
        <f>(Variables!E68/1000)*$E$29</f>
        <v>0</v>
      </c>
      <c r="F31" s="134" t="s">
        <v>45</v>
      </c>
      <c r="G31" s="135" t="s">
        <v>48</v>
      </c>
      <c r="H31" s="134"/>
      <c r="I31" s="134"/>
      <c r="J31" s="135"/>
      <c r="K31" s="228"/>
      <c r="L31" s="42"/>
    </row>
    <row r="32" spans="1:12" ht="15.75">
      <c r="A32" s="42"/>
      <c r="B32" s="42"/>
      <c r="C32" s="29"/>
      <c r="D32" s="94"/>
      <c r="E32" s="136">
        <f>(Variables!E69/1000)*$E$29</f>
        <v>0</v>
      </c>
      <c r="F32" s="131" t="s">
        <v>46</v>
      </c>
      <c r="G32" s="135" t="s">
        <v>37</v>
      </c>
      <c r="H32" s="134"/>
      <c r="I32" s="134"/>
      <c r="J32" s="135"/>
      <c r="K32" s="228"/>
      <c r="L32" s="42"/>
    </row>
    <row r="33" spans="1:12" ht="15.75">
      <c r="A33" s="42"/>
      <c r="B33" s="42"/>
      <c r="C33" s="25" t="s">
        <v>132</v>
      </c>
      <c r="D33" s="17"/>
      <c r="E33" s="145"/>
      <c r="F33" s="134"/>
      <c r="G33" s="135"/>
      <c r="H33" s="134"/>
      <c r="I33" s="134"/>
      <c r="J33" s="135"/>
      <c r="K33" s="228"/>
      <c r="L33" s="42"/>
    </row>
    <row r="34" spans="1:12" ht="15.75">
      <c r="A34" s="42"/>
      <c r="B34" s="42"/>
      <c r="C34" s="27"/>
      <c r="D34" s="21" t="s">
        <v>51</v>
      </c>
      <c r="E34" s="137"/>
      <c r="F34" s="134"/>
      <c r="G34" s="135"/>
      <c r="H34" s="134"/>
      <c r="I34" s="134"/>
      <c r="J34" s="226"/>
      <c r="K34" s="228"/>
      <c r="L34" s="42"/>
    </row>
    <row r="35" spans="1:12" ht="15.75">
      <c r="A35" s="42"/>
      <c r="B35" s="42"/>
      <c r="C35" s="85"/>
      <c r="D35" s="94"/>
      <c r="E35" s="133">
        <f>H29</f>
        <v>372117423.31288344</v>
      </c>
      <c r="F35" s="134" t="s">
        <v>39</v>
      </c>
      <c r="G35" s="135" t="s">
        <v>54</v>
      </c>
      <c r="H35" s="129">
        <f>K35*E35</f>
        <v>0</v>
      </c>
      <c r="I35" s="134" t="s">
        <v>39</v>
      </c>
      <c r="J35" s="138" t="s">
        <v>137</v>
      </c>
      <c r="K35" s="230">
        <v>0</v>
      </c>
      <c r="L35" s="42"/>
    </row>
    <row r="36" spans="1:12" ht="18" customHeight="1">
      <c r="A36" s="42"/>
      <c r="B36" s="42"/>
      <c r="C36" s="25"/>
      <c r="D36" s="94"/>
      <c r="E36" s="137"/>
      <c r="F36" s="134"/>
      <c r="G36" s="135"/>
      <c r="H36" s="129">
        <f>E35-H35</f>
        <v>372117423.31288344</v>
      </c>
      <c r="I36" s="134" t="s">
        <v>39</v>
      </c>
      <c r="J36" s="225" t="s">
        <v>54</v>
      </c>
      <c r="K36" s="230">
        <f>100%-K35</f>
        <v>1</v>
      </c>
      <c r="L36" s="42"/>
    </row>
    <row r="37" spans="1:12" ht="15.75">
      <c r="A37" s="42"/>
      <c r="B37" s="42"/>
      <c r="C37" s="25"/>
      <c r="D37" s="22" t="s">
        <v>35</v>
      </c>
      <c r="E37" s="137"/>
      <c r="F37" s="134"/>
      <c r="G37" s="135"/>
      <c r="H37" s="134"/>
      <c r="I37" s="134"/>
      <c r="J37" s="135"/>
      <c r="K37" s="227"/>
      <c r="L37" s="42"/>
    </row>
    <row r="38" spans="1:12" ht="15.75">
      <c r="A38" s="42"/>
      <c r="B38" s="42"/>
      <c r="C38" s="25"/>
      <c r="D38" s="94"/>
      <c r="E38" s="136">
        <f>(Variables!E72/1000)*$E$35</f>
        <v>1637316.6625766873</v>
      </c>
      <c r="F38" s="134" t="s">
        <v>45</v>
      </c>
      <c r="G38" s="135" t="s">
        <v>48</v>
      </c>
      <c r="H38" s="134"/>
      <c r="I38" s="134"/>
      <c r="J38" s="135"/>
      <c r="K38" s="227"/>
      <c r="L38" s="42"/>
    </row>
    <row r="39" spans="1:12" ht="15.75">
      <c r="A39" s="42"/>
      <c r="B39" s="42"/>
      <c r="C39" s="25"/>
      <c r="D39" s="94"/>
      <c r="E39" s="136">
        <f>(Variables!E73/1000)*$E$35</f>
        <v>0</v>
      </c>
      <c r="F39" s="131" t="s">
        <v>46</v>
      </c>
      <c r="G39" s="135" t="s">
        <v>37</v>
      </c>
      <c r="H39" s="134"/>
      <c r="I39" s="134"/>
      <c r="J39" s="135"/>
      <c r="K39" s="227"/>
      <c r="L39" s="42"/>
    </row>
    <row r="40" spans="1:12" ht="15.75">
      <c r="A40" s="42"/>
      <c r="B40" s="42"/>
      <c r="C40" s="25"/>
      <c r="D40" s="22"/>
      <c r="E40" s="137"/>
      <c r="F40" s="134"/>
      <c r="G40" s="135"/>
      <c r="H40" s="134"/>
      <c r="I40" s="134"/>
      <c r="J40" s="135"/>
      <c r="K40" s="227"/>
      <c r="L40" s="42"/>
    </row>
    <row r="41" spans="1:12" ht="15.75">
      <c r="A41" s="42"/>
      <c r="B41" s="42"/>
      <c r="C41" s="29" t="s">
        <v>147</v>
      </c>
      <c r="D41" s="94"/>
      <c r="E41" s="130"/>
      <c r="F41" s="131"/>
      <c r="G41" s="132"/>
      <c r="H41" s="131"/>
      <c r="I41" s="131"/>
      <c r="J41" s="132"/>
      <c r="K41" s="227"/>
      <c r="L41" s="42"/>
    </row>
    <row r="42" spans="1:12" ht="15.75">
      <c r="A42" s="42"/>
      <c r="B42" s="42"/>
      <c r="C42" s="85"/>
      <c r="D42" s="21" t="s">
        <v>51</v>
      </c>
      <c r="E42" s="130"/>
      <c r="F42" s="131"/>
      <c r="G42" s="132"/>
      <c r="H42" s="131"/>
      <c r="I42" s="131"/>
      <c r="J42" s="132"/>
      <c r="K42" s="227"/>
      <c r="L42" s="42"/>
    </row>
    <row r="43" spans="1:12" ht="15.75">
      <c r="A43" s="42"/>
      <c r="B43" s="42"/>
      <c r="C43" s="29"/>
      <c r="D43" s="94"/>
      <c r="E43" s="139">
        <f>H36</f>
        <v>372117423.31288344</v>
      </c>
      <c r="F43" s="140" t="s">
        <v>39</v>
      </c>
      <c r="G43" s="141" t="s">
        <v>54</v>
      </c>
      <c r="H43" s="129">
        <f>K43*E43</f>
        <v>11163522.699386504</v>
      </c>
      <c r="I43" s="134" t="s">
        <v>39</v>
      </c>
      <c r="J43" s="138" t="s">
        <v>137</v>
      </c>
      <c r="K43" s="320">
        <v>0.03</v>
      </c>
      <c r="L43" s="42"/>
    </row>
    <row r="44" spans="1:12" ht="15.75">
      <c r="A44" s="42"/>
      <c r="B44" s="42"/>
      <c r="C44" s="29"/>
      <c r="D44" s="22" t="s">
        <v>35</v>
      </c>
      <c r="E44" s="145"/>
      <c r="F44" s="140"/>
      <c r="G44" s="141"/>
      <c r="H44" s="142">
        <f>E43*K44</f>
        <v>360953900.6134969</v>
      </c>
      <c r="I44" s="143" t="s">
        <v>39</v>
      </c>
      <c r="J44" s="144" t="s">
        <v>54</v>
      </c>
      <c r="K44" s="230">
        <f>100%-K43</f>
        <v>0.97</v>
      </c>
      <c r="L44" s="42"/>
    </row>
    <row r="45" spans="1:12" ht="15.75">
      <c r="A45" s="42"/>
      <c r="B45" s="42"/>
      <c r="C45" s="29"/>
      <c r="D45" s="94"/>
      <c r="E45" s="136">
        <f>(Variables!E76/1000)*$E$43</f>
        <v>1265199.2392638037</v>
      </c>
      <c r="F45" s="134" t="s">
        <v>45</v>
      </c>
      <c r="G45" s="135" t="s">
        <v>48</v>
      </c>
      <c r="H45" s="134"/>
      <c r="I45" s="134"/>
      <c r="J45" s="135"/>
      <c r="K45" s="228"/>
      <c r="L45" s="42"/>
    </row>
    <row r="46" spans="1:12" ht="15.75">
      <c r="A46" s="42"/>
      <c r="B46" s="42"/>
      <c r="C46" s="29"/>
      <c r="D46" s="94"/>
      <c r="E46" s="136">
        <f>(Variables!E77/1000)*$E$43</f>
        <v>0</v>
      </c>
      <c r="F46" s="131" t="s">
        <v>46</v>
      </c>
      <c r="G46" s="135" t="s">
        <v>37</v>
      </c>
      <c r="H46" s="134"/>
      <c r="I46" s="134"/>
      <c r="J46" s="135"/>
      <c r="K46" s="228"/>
      <c r="L46" s="42"/>
    </row>
    <row r="47" spans="1:12" ht="15.75">
      <c r="A47" s="42"/>
      <c r="B47" s="42"/>
      <c r="C47" s="25" t="s">
        <v>148</v>
      </c>
      <c r="D47" s="17"/>
      <c r="E47" s="145"/>
      <c r="F47" s="134"/>
      <c r="G47" s="135"/>
      <c r="H47" s="134"/>
      <c r="I47" s="134"/>
      <c r="J47" s="135"/>
      <c r="K47" s="228"/>
      <c r="L47" s="42"/>
    </row>
    <row r="48" spans="1:12" ht="15.75">
      <c r="A48" s="42"/>
      <c r="B48" s="42"/>
      <c r="C48" s="27"/>
      <c r="D48" s="21" t="s">
        <v>51</v>
      </c>
      <c r="E48" s="137"/>
      <c r="F48" s="134"/>
      <c r="G48" s="135"/>
      <c r="H48" s="134"/>
      <c r="I48" s="134"/>
      <c r="J48" s="135"/>
      <c r="K48" s="228"/>
      <c r="L48" s="42"/>
    </row>
    <row r="49" spans="1:12" ht="15.75">
      <c r="A49" s="42"/>
      <c r="B49" s="42"/>
      <c r="C49" s="85"/>
      <c r="D49" s="94"/>
      <c r="E49" s="133">
        <f>H44</f>
        <v>360953900.6134969</v>
      </c>
      <c r="F49" s="134" t="s">
        <v>39</v>
      </c>
      <c r="G49" s="135" t="s">
        <v>54</v>
      </c>
      <c r="H49" s="129">
        <f>K49*E49</f>
        <v>234620035.39877298</v>
      </c>
      <c r="I49" s="134" t="s">
        <v>39</v>
      </c>
      <c r="J49" s="313" t="s">
        <v>176</v>
      </c>
      <c r="K49" s="230">
        <v>0.65</v>
      </c>
      <c r="L49" s="42"/>
    </row>
    <row r="50" spans="1:12" ht="18" customHeight="1">
      <c r="A50" s="42"/>
      <c r="B50" s="42"/>
      <c r="C50" s="25"/>
      <c r="D50" s="94"/>
      <c r="E50" s="137"/>
      <c r="F50" s="134"/>
      <c r="G50" s="135"/>
      <c r="H50" s="129">
        <f>E49-H49</f>
        <v>126333865.21472391</v>
      </c>
      <c r="I50" s="134" t="s">
        <v>39</v>
      </c>
      <c r="J50" s="312" t="s">
        <v>203</v>
      </c>
      <c r="K50" s="230">
        <f>100%-K49</f>
        <v>0.35</v>
      </c>
      <c r="L50" s="42"/>
    </row>
    <row r="51" spans="1:12" ht="15.75">
      <c r="A51" s="42"/>
      <c r="B51" s="42"/>
      <c r="C51" s="25"/>
      <c r="D51" s="22" t="s">
        <v>35</v>
      </c>
      <c r="E51" s="137"/>
      <c r="F51" s="134"/>
      <c r="G51" s="135"/>
      <c r="H51" s="134"/>
      <c r="I51" s="134"/>
      <c r="J51" s="135"/>
      <c r="K51" s="227"/>
      <c r="L51" s="42"/>
    </row>
    <row r="52" spans="1:12" ht="15.75">
      <c r="A52" s="42"/>
      <c r="B52" s="42"/>
      <c r="C52" s="25"/>
      <c r="D52" s="94"/>
      <c r="E52" s="136">
        <f>(Variables!E80/1000)*$E$49</f>
        <v>1732578.7229447849</v>
      </c>
      <c r="F52" s="134" t="s">
        <v>45</v>
      </c>
      <c r="G52" s="135" t="s">
        <v>48</v>
      </c>
      <c r="H52" s="134"/>
      <c r="I52" s="134"/>
      <c r="J52" s="135"/>
      <c r="K52" s="227"/>
      <c r="L52" s="42"/>
    </row>
    <row r="53" spans="1:12" ht="15.75">
      <c r="A53" s="42"/>
      <c r="B53" s="42"/>
      <c r="C53" s="25"/>
      <c r="D53" s="94"/>
      <c r="E53" s="136">
        <f>(Variables!E81/1000)*$E$49</f>
        <v>0</v>
      </c>
      <c r="F53" s="131" t="s">
        <v>46</v>
      </c>
      <c r="G53" s="135" t="s">
        <v>37</v>
      </c>
      <c r="H53" s="134"/>
      <c r="I53" s="134"/>
      <c r="J53" s="135"/>
      <c r="K53" s="227"/>
      <c r="L53" s="42"/>
    </row>
    <row r="54" spans="1:12" ht="15.75">
      <c r="A54" s="42"/>
      <c r="B54" s="42"/>
      <c r="C54" s="25"/>
      <c r="D54" s="22"/>
      <c r="E54" s="137"/>
      <c r="F54" s="134"/>
      <c r="G54" s="135"/>
      <c r="H54" s="134"/>
      <c r="I54" s="134"/>
      <c r="J54" s="135"/>
      <c r="K54" s="227"/>
      <c r="L54" s="42"/>
    </row>
    <row r="55" spans="1:12" ht="15.75">
      <c r="A55" s="42"/>
      <c r="B55" s="42"/>
      <c r="C55" s="29" t="s">
        <v>202</v>
      </c>
      <c r="D55" s="17"/>
      <c r="E55" s="137"/>
      <c r="F55" s="134"/>
      <c r="G55" s="135"/>
      <c r="H55" s="134"/>
      <c r="I55" s="134"/>
      <c r="J55" s="135"/>
      <c r="K55" s="227"/>
      <c r="L55" s="42"/>
    </row>
    <row r="56" spans="1:12" ht="15.75">
      <c r="A56" s="42"/>
      <c r="B56" s="42"/>
      <c r="C56" s="85"/>
      <c r="D56" s="21" t="s">
        <v>51</v>
      </c>
      <c r="E56" s="137"/>
      <c r="F56" s="134"/>
      <c r="G56" s="135"/>
      <c r="H56" s="134"/>
      <c r="I56" s="134"/>
      <c r="J56" s="135"/>
      <c r="K56" s="227"/>
      <c r="L56" s="42"/>
    </row>
    <row r="57" spans="1:12" ht="15.75">
      <c r="A57" s="42"/>
      <c r="B57" s="42"/>
      <c r="C57" s="29"/>
      <c r="D57" s="94"/>
      <c r="E57" s="139">
        <f>H49</f>
        <v>234620035.39877298</v>
      </c>
      <c r="F57" s="140" t="s">
        <v>39</v>
      </c>
      <c r="G57" s="141" t="s">
        <v>176</v>
      </c>
      <c r="H57" s="314">
        <f>E57*K57</f>
        <v>49270.207433742326</v>
      </c>
      <c r="I57" s="140" t="s">
        <v>39</v>
      </c>
      <c r="J57" s="138" t="s">
        <v>57</v>
      </c>
      <c r="K57" s="305">
        <v>2.1000000000000001E-4</v>
      </c>
      <c r="L57" s="96"/>
    </row>
    <row r="58" spans="1:12" ht="15.75">
      <c r="A58" s="42"/>
      <c r="B58" s="42"/>
      <c r="C58" s="18"/>
      <c r="D58" s="94"/>
      <c r="E58" s="145"/>
      <c r="F58" s="140"/>
      <c r="G58" s="141"/>
      <c r="H58" s="315">
        <f>E57-H57</f>
        <v>234570765.19133925</v>
      </c>
      <c r="I58" t="s">
        <v>39</v>
      </c>
      <c r="J58" s="316" t="s">
        <v>144</v>
      </c>
      <c r="K58" s="306">
        <f>100%-K57</f>
        <v>0.99978999999999996</v>
      </c>
      <c r="L58" s="42"/>
    </row>
    <row r="59" spans="1:12" ht="15.75">
      <c r="A59" s="42"/>
      <c r="B59" s="42"/>
      <c r="C59" s="18"/>
      <c r="D59" s="23" t="s">
        <v>35</v>
      </c>
      <c r="E59" s="145"/>
      <c r="F59" s="140"/>
      <c r="G59" s="141"/>
      <c r="H59" s="140"/>
      <c r="I59" s="140"/>
      <c r="J59" s="141"/>
      <c r="K59" s="227"/>
      <c r="L59" s="42"/>
    </row>
    <row r="60" spans="1:12" ht="15.75">
      <c r="A60" s="42"/>
      <c r="B60" s="42"/>
      <c r="C60" s="18"/>
      <c r="D60" s="94"/>
      <c r="E60" s="147">
        <f>(Variables!E84/1000)*$E$57</f>
        <v>234620.03539877298</v>
      </c>
      <c r="F60" s="140" t="s">
        <v>45</v>
      </c>
      <c r="G60" s="141" t="s">
        <v>48</v>
      </c>
      <c r="H60" s="134"/>
      <c r="I60" s="134"/>
      <c r="J60" s="135"/>
      <c r="K60" s="227"/>
      <c r="L60" s="42"/>
    </row>
    <row r="61" spans="1:12" ht="15.75">
      <c r="A61" s="42"/>
      <c r="B61" s="42"/>
      <c r="C61" s="18"/>
      <c r="D61" s="12"/>
      <c r="E61" s="147">
        <f>(Variables!E85/1000)*$E$57</f>
        <v>0</v>
      </c>
      <c r="F61" s="140" t="s">
        <v>46</v>
      </c>
      <c r="G61" s="148" t="s">
        <v>37</v>
      </c>
      <c r="H61" s="134"/>
      <c r="I61" s="134"/>
      <c r="J61" s="135"/>
      <c r="K61" s="227"/>
      <c r="L61" s="42"/>
    </row>
    <row r="62" spans="1:12" ht="15.75">
      <c r="A62" s="42"/>
      <c r="B62" s="42"/>
      <c r="C62" s="18"/>
      <c r="D62" s="12"/>
      <c r="E62" s="553">
        <f>0.045*$E$9/1000</f>
        <v>11664.45</v>
      </c>
      <c r="F62" s="302" t="s">
        <v>39</v>
      </c>
      <c r="G62" s="303" t="s">
        <v>193</v>
      </c>
      <c r="H62" s="134"/>
      <c r="I62" s="134"/>
      <c r="J62" s="135"/>
      <c r="K62" s="227"/>
      <c r="L62" s="341" t="s">
        <v>346</v>
      </c>
    </row>
    <row r="63" spans="1:12" ht="14.1" customHeight="1">
      <c r="A63" s="42"/>
      <c r="B63" s="42"/>
      <c r="C63" s="94"/>
      <c r="D63" s="85"/>
      <c r="E63" s="553">
        <f>2*E62</f>
        <v>23328.9</v>
      </c>
      <c r="F63" s="302" t="s">
        <v>39</v>
      </c>
      <c r="G63" s="304" t="s">
        <v>335</v>
      </c>
      <c r="H63" s="137"/>
      <c r="I63" s="134"/>
      <c r="J63" s="135"/>
      <c r="K63" s="227"/>
      <c r="L63" s="107"/>
    </row>
    <row r="64" spans="1:12" ht="14.1" customHeight="1">
      <c r="A64" s="42"/>
      <c r="B64" s="42"/>
      <c r="C64" s="94"/>
      <c r="D64" s="85"/>
      <c r="E64" s="130"/>
      <c r="F64" s="134"/>
      <c r="G64" s="149"/>
      <c r="H64" s="137"/>
      <c r="I64" s="134"/>
      <c r="J64" s="135"/>
      <c r="K64" s="227"/>
      <c r="L64" s="42"/>
    </row>
    <row r="65" spans="1:13" ht="15.75">
      <c r="A65" s="42"/>
      <c r="B65" s="42"/>
      <c r="C65" s="29" t="s">
        <v>204</v>
      </c>
      <c r="D65" s="17"/>
      <c r="E65" s="137"/>
      <c r="F65" s="134"/>
      <c r="G65" s="135"/>
      <c r="H65" s="134"/>
      <c r="I65" s="134"/>
      <c r="J65" s="135"/>
      <c r="K65" s="227"/>
      <c r="L65" s="42"/>
    </row>
    <row r="66" spans="1:13" ht="15.75">
      <c r="A66" s="42"/>
      <c r="B66" s="42"/>
      <c r="C66" s="85"/>
      <c r="D66" s="21" t="s">
        <v>51</v>
      </c>
      <c r="E66" s="137"/>
      <c r="F66" s="134"/>
      <c r="G66" s="135"/>
      <c r="H66" s="134"/>
      <c r="I66" s="134"/>
      <c r="J66" s="135"/>
      <c r="K66" s="227"/>
      <c r="L66" s="42"/>
    </row>
    <row r="67" spans="1:13" ht="15.75">
      <c r="A67" s="42"/>
      <c r="B67" s="42"/>
      <c r="C67" s="29"/>
      <c r="D67" s="94"/>
      <c r="E67" s="139">
        <f>H50</f>
        <v>126333865.21472391</v>
      </c>
      <c r="F67" s="140" t="s">
        <v>39</v>
      </c>
      <c r="G67" s="141" t="s">
        <v>203</v>
      </c>
      <c r="H67" s="296">
        <f>E67</f>
        <v>126333865.21472391</v>
      </c>
      <c r="I67" s="140" t="s">
        <v>39</v>
      </c>
      <c r="J67" s="312" t="s">
        <v>203</v>
      </c>
      <c r="K67" s="235"/>
      <c r="L67" s="96"/>
    </row>
    <row r="68" spans="1:13" ht="15.75">
      <c r="A68" s="42"/>
      <c r="B68" s="42"/>
      <c r="C68" s="18"/>
      <c r="D68" s="94"/>
      <c r="E68" s="145"/>
      <c r="F68" s="140"/>
      <c r="G68" s="141"/>
      <c r="J68" s="226"/>
      <c r="L68" s="42"/>
    </row>
    <row r="69" spans="1:13" ht="15.75">
      <c r="A69" s="42"/>
      <c r="B69" s="42"/>
      <c r="C69" s="18"/>
      <c r="D69" s="23" t="s">
        <v>35</v>
      </c>
      <c r="E69" s="145"/>
      <c r="F69" s="140"/>
      <c r="G69" s="141"/>
      <c r="H69" s="140"/>
      <c r="I69" s="140"/>
      <c r="J69" s="141"/>
      <c r="K69" s="227"/>
      <c r="L69" s="42"/>
    </row>
    <row r="70" spans="1:13" ht="15.75">
      <c r="A70" s="42"/>
      <c r="B70" s="42"/>
      <c r="C70" s="18"/>
      <c r="D70" s="94"/>
      <c r="E70" s="147">
        <f>(Variables!E88/1000)*$E$57</f>
        <v>7742461.1681595091</v>
      </c>
      <c r="F70" s="140" t="s">
        <v>45</v>
      </c>
      <c r="G70" s="141" t="s">
        <v>48</v>
      </c>
      <c r="H70" s="134"/>
      <c r="I70" s="134"/>
      <c r="J70" s="135"/>
      <c r="K70" s="227"/>
      <c r="L70" s="42"/>
    </row>
    <row r="71" spans="1:13" ht="15.75">
      <c r="A71" s="42"/>
      <c r="B71" s="42"/>
      <c r="C71" s="18"/>
      <c r="D71" s="12"/>
      <c r="E71" s="147">
        <f>(Variables!E89/1000)*$E$57</f>
        <v>0</v>
      </c>
      <c r="F71" s="140" t="s">
        <v>46</v>
      </c>
      <c r="G71" s="148" t="s">
        <v>37</v>
      </c>
      <c r="H71" s="134"/>
      <c r="I71" s="134"/>
      <c r="J71" s="135"/>
      <c r="K71" s="227"/>
      <c r="L71" s="42"/>
    </row>
    <row r="72" spans="1:13" ht="14.1" customHeight="1">
      <c r="A72" s="42"/>
      <c r="B72" s="42"/>
      <c r="C72" s="94"/>
      <c r="D72" s="85"/>
      <c r="E72" s="130"/>
      <c r="F72" s="134"/>
      <c r="G72" s="149"/>
      <c r="H72" s="137"/>
      <c r="I72" s="134"/>
      <c r="J72" s="135"/>
      <c r="K72" s="227"/>
      <c r="L72" s="42"/>
    </row>
    <row r="73" spans="1:13" ht="15.75">
      <c r="A73" s="42"/>
      <c r="B73" s="42"/>
      <c r="C73" s="29" t="s">
        <v>207</v>
      </c>
      <c r="D73" s="17"/>
      <c r="E73" s="137"/>
      <c r="F73" s="134"/>
      <c r="G73" s="135"/>
      <c r="H73" s="134"/>
      <c r="I73" s="134"/>
      <c r="J73" s="135"/>
      <c r="K73" s="227"/>
      <c r="L73" s="42"/>
    </row>
    <row r="74" spans="1:13" ht="15.75">
      <c r="A74" s="42"/>
      <c r="B74" s="42"/>
      <c r="C74" s="85"/>
      <c r="D74" s="21" t="s">
        <v>51</v>
      </c>
      <c r="E74" s="137"/>
      <c r="F74" s="134"/>
      <c r="G74" s="135"/>
      <c r="H74" s="293"/>
      <c r="I74" s="293"/>
      <c r="J74" s="226"/>
      <c r="K74" s="645">
        <v>0.59</v>
      </c>
      <c r="L74" s="341" t="s">
        <v>364</v>
      </c>
      <c r="M74" s="3"/>
    </row>
    <row r="75" spans="1:13" ht="18.75">
      <c r="A75" s="42"/>
      <c r="B75" s="42"/>
      <c r="C75" s="29"/>
      <c r="D75" s="94"/>
      <c r="E75" s="139">
        <f>H67</f>
        <v>126333865.21472391</v>
      </c>
      <c r="F75" s="140" t="s">
        <v>39</v>
      </c>
      <c r="G75" s="141" t="s">
        <v>203</v>
      </c>
      <c r="H75" s="296">
        <f>0.173*E10*K74/0.9</f>
        <v>8819188.2333333306</v>
      </c>
      <c r="I75" s="140" t="s">
        <v>39</v>
      </c>
      <c r="J75" s="138" t="s">
        <v>142</v>
      </c>
      <c r="L75" s="8" t="s">
        <v>374</v>
      </c>
    </row>
    <row r="76" spans="1:13" ht="15.75">
      <c r="A76" s="42"/>
      <c r="B76" s="42"/>
      <c r="C76" s="18"/>
      <c r="D76" s="94"/>
      <c r="E76" s="145"/>
      <c r="F76" s="140"/>
      <c r="G76" s="141"/>
      <c r="H76" s="184"/>
      <c r="I76" s="143"/>
      <c r="J76" s="236"/>
      <c r="K76" s="235"/>
      <c r="L76" s="122"/>
      <c r="M76" s="122"/>
    </row>
    <row r="77" spans="1:13" ht="15.75">
      <c r="A77" s="42"/>
      <c r="B77" s="42"/>
      <c r="C77" s="18"/>
      <c r="D77" s="23" t="s">
        <v>35</v>
      </c>
      <c r="E77" s="145"/>
      <c r="F77" s="140"/>
      <c r="G77" s="141"/>
      <c r="H77" s="562"/>
      <c r="I77" s="140"/>
      <c r="J77" s="141"/>
      <c r="K77" s="227"/>
      <c r="L77" s="42"/>
    </row>
    <row r="78" spans="1:13" ht="15.75">
      <c r="A78" s="42"/>
      <c r="B78" s="42"/>
      <c r="C78" s="18"/>
      <c r="D78" s="94"/>
      <c r="E78" s="147">
        <f>Variables!E92/1000*$E$75</f>
        <v>80853673.737423301</v>
      </c>
      <c r="F78" s="140" t="s">
        <v>45</v>
      </c>
      <c r="G78" s="141" t="s">
        <v>48</v>
      </c>
      <c r="H78" s="134"/>
      <c r="I78" s="134"/>
      <c r="J78" s="135"/>
      <c r="K78" s="227"/>
      <c r="L78" s="42"/>
    </row>
    <row r="79" spans="1:13" ht="15.75">
      <c r="A79" s="42"/>
      <c r="B79" s="42"/>
      <c r="C79" s="18"/>
      <c r="D79" s="12"/>
      <c r="E79" s="147">
        <f>Variables!E93/1000*$E$75</f>
        <v>0</v>
      </c>
      <c r="F79" s="140" t="s">
        <v>46</v>
      </c>
      <c r="G79" s="148" t="s">
        <v>37</v>
      </c>
      <c r="H79" s="134"/>
      <c r="I79" s="134"/>
      <c r="J79" s="135"/>
      <c r="K79" s="227"/>
      <c r="L79" s="42"/>
    </row>
    <row r="80" spans="1:13" ht="14.1" customHeight="1">
      <c r="A80" s="42"/>
      <c r="B80" s="42"/>
      <c r="C80" s="94"/>
      <c r="D80" s="85"/>
      <c r="E80" s="130"/>
      <c r="F80" s="134"/>
      <c r="G80" s="149"/>
      <c r="H80" s="137"/>
      <c r="I80" s="134"/>
      <c r="J80" s="135"/>
      <c r="K80" s="227"/>
      <c r="L80" s="42"/>
    </row>
    <row r="81" spans="1:12" ht="15.75">
      <c r="A81" s="42"/>
      <c r="B81" s="42"/>
      <c r="C81" s="17" t="s">
        <v>97</v>
      </c>
      <c r="D81" s="85"/>
      <c r="E81" s="137"/>
      <c r="F81" s="134"/>
      <c r="G81" s="134"/>
      <c r="H81" s="137"/>
      <c r="I81" s="134"/>
      <c r="J81" s="135"/>
      <c r="K81" s="227"/>
      <c r="L81" s="42"/>
    </row>
    <row r="82" spans="1:12" ht="15.75">
      <c r="A82" s="42"/>
      <c r="B82" s="42"/>
      <c r="C82" s="17"/>
      <c r="D82" s="27" t="s">
        <v>35</v>
      </c>
      <c r="E82" s="137"/>
      <c r="F82" s="134"/>
      <c r="G82" s="134"/>
      <c r="H82" s="137"/>
      <c r="I82" s="134"/>
      <c r="J82" s="135"/>
      <c r="K82" s="227"/>
      <c r="L82" s="42"/>
    </row>
    <row r="83" spans="1:12" ht="15.75">
      <c r="A83" s="42"/>
      <c r="B83" s="42"/>
      <c r="C83" s="47"/>
      <c r="D83" s="95"/>
      <c r="E83" s="150">
        <f>'Grass Processing'!E21</f>
        <v>8</v>
      </c>
      <c r="F83" s="151" t="s">
        <v>98</v>
      </c>
      <c r="G83" s="151" t="s">
        <v>23</v>
      </c>
      <c r="H83" s="152"/>
      <c r="I83" s="151"/>
      <c r="J83" s="153"/>
      <c r="K83" s="227"/>
      <c r="L83" s="42"/>
    </row>
    <row r="84" spans="1:12" ht="15.75">
      <c r="A84" s="42"/>
      <c r="B84" s="42"/>
      <c r="C84" s="48"/>
      <c r="D84" s="42"/>
      <c r="E84" s="42"/>
      <c r="F84" s="42"/>
      <c r="G84" s="42"/>
      <c r="H84" s="42"/>
      <c r="I84" s="42"/>
      <c r="J84" s="42"/>
      <c r="K84" s="42"/>
      <c r="L84" s="42"/>
    </row>
    <row r="85" spans="1:12" ht="15.75">
      <c r="A85" s="42"/>
      <c r="B85" s="42"/>
      <c r="C85" s="48"/>
      <c r="D85" s="42"/>
      <c r="E85" s="42"/>
      <c r="F85" s="42"/>
      <c r="G85" s="42"/>
      <c r="H85" s="42"/>
      <c r="I85" s="42"/>
      <c r="J85" s="42"/>
      <c r="K85" s="42"/>
      <c r="L85" s="42"/>
    </row>
    <row r="86" spans="1:12" ht="15.75">
      <c r="A86" s="42"/>
      <c r="B86" s="42"/>
      <c r="D86" s="293"/>
      <c r="K86" s="42"/>
      <c r="L86" s="42"/>
    </row>
    <row r="87" spans="1:12" ht="15.75">
      <c r="K87" s="15"/>
    </row>
    <row r="88" spans="1:12" ht="15.75">
      <c r="K88" s="15"/>
    </row>
    <row r="89" spans="1:12" ht="15.75">
      <c r="K89" s="15"/>
    </row>
    <row r="90" spans="1:12" ht="15.75">
      <c r="D90" s="15"/>
      <c r="E90" s="15"/>
      <c r="F90" s="15"/>
      <c r="G90" s="15"/>
      <c r="H90" s="15"/>
      <c r="I90" s="15"/>
      <c r="J90" s="15"/>
      <c r="K90" s="15"/>
    </row>
  </sheetData>
  <mergeCells count="1">
    <mergeCell ref="G10:K1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B1:AC188"/>
  <sheetViews>
    <sheetView workbookViewId="0"/>
  </sheetViews>
  <sheetFormatPr defaultColWidth="11.42578125" defaultRowHeight="15"/>
  <cols>
    <col min="1" max="1" width="1.42578125" customWidth="1"/>
    <col min="2" max="2" width="3.42578125" customWidth="1"/>
    <col min="3" max="3" width="21" customWidth="1"/>
    <col min="4" max="4" width="28.140625" customWidth="1"/>
    <col min="5" max="5" width="8.28515625" customWidth="1"/>
    <col min="6" max="6" width="15.42578125" bestFit="1" customWidth="1"/>
    <col min="7" max="7" width="15" customWidth="1"/>
    <col min="8" max="8" width="19.85546875" customWidth="1"/>
    <col min="9" max="9" width="23.42578125" customWidth="1"/>
    <col min="10" max="10" width="12.28515625" customWidth="1"/>
    <col min="11" max="11" width="44.7109375" customWidth="1"/>
    <col min="12" max="12" width="4.7109375" customWidth="1"/>
    <col min="14" max="14" width="12.140625" customWidth="1"/>
    <col min="15" max="15" width="20.28515625" customWidth="1"/>
    <col min="16" max="16" width="18.7109375" customWidth="1"/>
  </cols>
  <sheetData>
    <row r="1" spans="2:29">
      <c r="C1" s="20"/>
      <c r="D1" s="20"/>
    </row>
    <row r="2" spans="2:29" ht="20.100000000000001" customHeight="1">
      <c r="C2" s="3"/>
      <c r="D2" s="6"/>
      <c r="J2" s="80"/>
      <c r="K2" s="114" t="s">
        <v>43</v>
      </c>
    </row>
    <row r="3" spans="2:29" ht="21">
      <c r="C3" s="7" t="s">
        <v>29</v>
      </c>
      <c r="D3" s="6"/>
      <c r="E3" s="2"/>
      <c r="J3" s="57"/>
      <c r="K3" s="36" t="s">
        <v>106</v>
      </c>
    </row>
    <row r="4" spans="2:29" ht="15.75">
      <c r="C4" s="8" t="s">
        <v>96</v>
      </c>
      <c r="D4" s="6"/>
      <c r="E4" s="2"/>
    </row>
    <row r="5" spans="2:29" ht="15.75">
      <c r="B5" s="2"/>
      <c r="C5" s="2"/>
      <c r="D5" s="2"/>
      <c r="E5" s="4"/>
      <c r="F5" s="654" t="s">
        <v>0</v>
      </c>
      <c r="G5" s="655"/>
      <c r="H5" s="656"/>
      <c r="I5" s="53" t="s">
        <v>3</v>
      </c>
      <c r="J5" s="2"/>
      <c r="K5" s="79" t="s">
        <v>33</v>
      </c>
      <c r="R5" s="80"/>
      <c r="S5" s="80"/>
      <c r="T5" s="2"/>
      <c r="U5" s="2"/>
      <c r="V5" s="2"/>
      <c r="W5" s="2"/>
      <c r="X5" s="2"/>
      <c r="Y5" s="2"/>
      <c r="Z5" s="2"/>
      <c r="AA5" s="2"/>
      <c r="AB5" s="2"/>
      <c r="AC5" s="2"/>
    </row>
    <row r="6" spans="2:29" ht="31.5">
      <c r="B6" s="2"/>
      <c r="C6" s="54" t="s">
        <v>44</v>
      </c>
      <c r="D6" s="53" t="s">
        <v>25</v>
      </c>
      <c r="E6" s="55" t="s">
        <v>61</v>
      </c>
      <c r="F6" s="53" t="s">
        <v>27</v>
      </c>
      <c r="G6" s="56" t="s">
        <v>65</v>
      </c>
      <c r="H6" s="53" t="s">
        <v>166</v>
      </c>
      <c r="I6" s="53" t="s">
        <v>3</v>
      </c>
      <c r="J6" s="57"/>
      <c r="K6" s="57"/>
      <c r="R6" s="57"/>
      <c r="S6" s="81"/>
      <c r="T6" s="2"/>
      <c r="U6" s="2"/>
      <c r="V6" s="2"/>
      <c r="W6" s="2"/>
      <c r="X6" s="2"/>
      <c r="Y6" s="2"/>
      <c r="Z6" s="2"/>
      <c r="AA6" s="2"/>
      <c r="AB6" s="2"/>
      <c r="AC6" s="2"/>
    </row>
    <row r="7" spans="2:29" ht="32.1" customHeight="1">
      <c r="B7" s="2"/>
      <c r="C7" s="58"/>
      <c r="D7" s="59"/>
      <c r="E7" s="60" t="s">
        <v>62</v>
      </c>
      <c r="F7" s="61" t="s">
        <v>284</v>
      </c>
      <c r="G7" s="61" t="s">
        <v>64</v>
      </c>
      <c r="H7" s="61" t="s">
        <v>68</v>
      </c>
      <c r="I7" s="61" t="s">
        <v>64</v>
      </c>
      <c r="J7" s="57"/>
      <c r="K7" s="82" t="s">
        <v>282</v>
      </c>
      <c r="R7" s="2"/>
      <c r="S7" s="2"/>
      <c r="T7" s="2"/>
      <c r="U7" s="2"/>
      <c r="V7" s="2"/>
      <c r="W7" s="2"/>
      <c r="X7" s="2"/>
      <c r="Y7" s="2"/>
      <c r="Z7" s="2"/>
      <c r="AA7" s="2"/>
      <c r="AB7" s="2"/>
      <c r="AC7" s="2"/>
    </row>
    <row r="8" spans="2:29" ht="15.75">
      <c r="B8" s="2"/>
      <c r="C8" s="63" t="s">
        <v>146</v>
      </c>
      <c r="D8" s="63"/>
      <c r="E8" s="64">
        <v>1</v>
      </c>
      <c r="F8" s="53"/>
      <c r="G8" s="53"/>
      <c r="H8" s="53"/>
      <c r="I8" s="65"/>
      <c r="J8" s="57"/>
      <c r="K8" s="57"/>
      <c r="L8" s="2"/>
      <c r="M8" s="2"/>
      <c r="N8" s="2"/>
      <c r="O8" s="2"/>
      <c r="P8" s="2"/>
      <c r="Q8" s="2"/>
      <c r="R8" s="2"/>
      <c r="S8" s="2"/>
      <c r="T8" s="2"/>
      <c r="U8" s="2"/>
      <c r="V8" s="2"/>
      <c r="W8" s="2"/>
      <c r="X8" s="2"/>
      <c r="Y8" s="2"/>
      <c r="Z8" s="2"/>
      <c r="AA8" s="2"/>
      <c r="AB8" s="2"/>
      <c r="AC8" s="2"/>
    </row>
    <row r="9" spans="2:29" ht="15.75">
      <c r="B9" s="2"/>
      <c r="C9" s="66"/>
      <c r="D9" s="67" t="s">
        <v>63</v>
      </c>
      <c r="E9" s="68"/>
      <c r="F9" s="69">
        <f>Variables!E60*E8</f>
        <v>600000</v>
      </c>
      <c r="G9" s="69"/>
      <c r="H9" s="70"/>
      <c r="I9" s="70"/>
      <c r="J9" s="57"/>
      <c r="K9" s="57"/>
      <c r="L9" s="2"/>
      <c r="M9" s="2"/>
      <c r="N9" s="2"/>
      <c r="O9" s="2"/>
      <c r="P9" s="2"/>
      <c r="Q9" s="2"/>
      <c r="R9" s="2"/>
      <c r="S9" s="2"/>
      <c r="T9" s="2"/>
      <c r="U9" s="2"/>
      <c r="V9" s="2"/>
      <c r="W9" s="2"/>
      <c r="X9" s="2"/>
      <c r="Y9" s="2"/>
      <c r="Z9" s="2"/>
      <c r="AA9" s="2"/>
      <c r="AB9" s="2"/>
      <c r="AC9" s="2"/>
    </row>
    <row r="10" spans="2:29" ht="15.75">
      <c r="B10" s="2"/>
      <c r="C10" s="71"/>
      <c r="D10" s="68" t="s">
        <v>30</v>
      </c>
      <c r="E10" s="68"/>
      <c r="F10" s="69"/>
      <c r="G10" s="69">
        <f>Variables!E62*F9*E8</f>
        <v>84000.000000000015</v>
      </c>
      <c r="H10" s="70"/>
      <c r="I10" s="70"/>
      <c r="J10" s="57"/>
      <c r="K10" s="57"/>
      <c r="L10" s="2"/>
      <c r="M10" s="2"/>
      <c r="N10" s="2"/>
      <c r="O10" s="2"/>
      <c r="P10" s="2"/>
      <c r="Q10" s="2"/>
      <c r="R10" s="2"/>
      <c r="S10" s="2"/>
      <c r="T10" s="2"/>
      <c r="U10" s="2"/>
      <c r="V10" s="2"/>
      <c r="W10" s="2"/>
      <c r="X10" s="2"/>
      <c r="Y10" s="2"/>
      <c r="Z10" s="2"/>
      <c r="AA10" s="2"/>
      <c r="AB10" s="2"/>
      <c r="AC10" s="2"/>
    </row>
    <row r="11" spans="2:29" ht="15.75">
      <c r="B11" s="2"/>
      <c r="C11" s="71"/>
      <c r="D11" s="68" t="s">
        <v>21</v>
      </c>
      <c r="E11" s="68"/>
      <c r="F11" s="69"/>
      <c r="G11" s="69"/>
      <c r="H11" s="69">
        <f>$E$8*Variables!E98*'3.Machine Processing '!E18</f>
        <v>622104</v>
      </c>
      <c r="I11" s="70"/>
      <c r="J11" s="57"/>
      <c r="K11" s="57"/>
      <c r="L11" s="2"/>
      <c r="M11" s="2"/>
      <c r="N11" s="2"/>
      <c r="O11" s="2"/>
      <c r="P11" s="2"/>
      <c r="Q11" s="2"/>
      <c r="R11" s="2"/>
      <c r="S11" s="2"/>
      <c r="T11" s="2"/>
      <c r="U11" s="2"/>
      <c r="V11" s="2"/>
      <c r="W11" s="2"/>
      <c r="X11" s="2"/>
      <c r="Y11" s="2"/>
      <c r="Z11" s="2"/>
      <c r="AA11" s="2"/>
      <c r="AB11" s="2"/>
      <c r="AC11" s="2"/>
    </row>
    <row r="12" spans="2:29" ht="15.75">
      <c r="B12" s="2"/>
      <c r="C12" s="71"/>
      <c r="D12" s="68" t="s">
        <v>22</v>
      </c>
      <c r="E12" s="68"/>
      <c r="F12" s="69"/>
      <c r="G12" s="69"/>
      <c r="H12" s="69">
        <f>$E$8*Variables!E99*'3.Machine Processing '!E19</f>
        <v>237471.34539877297</v>
      </c>
      <c r="I12" s="70"/>
      <c r="J12" s="57"/>
      <c r="K12" s="57"/>
      <c r="L12" s="2"/>
      <c r="M12" s="2"/>
      <c r="N12" s="2"/>
      <c r="O12" s="2"/>
      <c r="P12" s="2"/>
      <c r="Q12" s="2"/>
      <c r="R12" s="2"/>
      <c r="S12" s="2"/>
      <c r="T12" s="2"/>
      <c r="U12" s="2"/>
      <c r="V12" s="2"/>
      <c r="W12" s="2"/>
      <c r="X12" s="2"/>
      <c r="Y12" s="2"/>
      <c r="Z12" s="2"/>
      <c r="AA12" s="2"/>
      <c r="AB12" s="2"/>
      <c r="AC12" s="2"/>
    </row>
    <row r="13" spans="2:29" ht="15.75">
      <c r="B13" s="2"/>
      <c r="C13" s="71"/>
      <c r="D13" s="68" t="s">
        <v>1</v>
      </c>
      <c r="E13" s="68"/>
      <c r="F13" s="69"/>
      <c r="G13" s="69"/>
      <c r="H13" s="69">
        <f>E8*'3.Machine Processing '!E10*Variables!E9</f>
        <v>19440750</v>
      </c>
      <c r="I13" s="70"/>
      <c r="J13" s="57"/>
      <c r="K13" s="128"/>
      <c r="L13" s="2"/>
      <c r="M13" s="2"/>
      <c r="N13" s="2"/>
      <c r="O13" s="2"/>
      <c r="P13" s="2"/>
      <c r="Q13" s="2"/>
      <c r="R13" s="2"/>
      <c r="S13" s="2"/>
      <c r="T13" s="2"/>
      <c r="U13" s="2"/>
      <c r="V13" s="2"/>
      <c r="W13" s="2"/>
      <c r="X13" s="2"/>
      <c r="Y13" s="2"/>
      <c r="Z13" s="2"/>
      <c r="AA13" s="2"/>
      <c r="AB13" s="2"/>
      <c r="AC13" s="2"/>
    </row>
    <row r="14" spans="2:29" ht="15.75">
      <c r="B14" s="2"/>
      <c r="C14" s="71"/>
      <c r="D14" s="68" t="s">
        <v>54</v>
      </c>
      <c r="E14" s="68"/>
      <c r="F14" s="69"/>
      <c r="G14" s="69"/>
      <c r="H14" s="69"/>
      <c r="I14" s="70"/>
      <c r="J14" s="57"/>
      <c r="K14" s="128"/>
      <c r="L14" s="2"/>
      <c r="M14" s="2"/>
      <c r="N14" s="2"/>
      <c r="O14" s="2"/>
      <c r="P14" s="2"/>
      <c r="Q14" s="2"/>
      <c r="R14" s="2"/>
      <c r="S14" s="2"/>
      <c r="T14" s="2"/>
      <c r="U14" s="2"/>
      <c r="V14" s="2"/>
      <c r="W14" s="2"/>
      <c r="X14" s="2"/>
      <c r="Y14" s="2"/>
      <c r="Z14" s="2"/>
      <c r="AA14" s="2"/>
      <c r="AB14" s="2"/>
      <c r="AC14" s="2"/>
    </row>
    <row r="15" spans="2:29" ht="15.75">
      <c r="B15" s="2"/>
      <c r="C15" s="72" t="s">
        <v>53</v>
      </c>
      <c r="D15" s="72"/>
      <c r="E15" s="68">
        <v>1</v>
      </c>
      <c r="F15" s="69"/>
      <c r="G15" s="69"/>
      <c r="H15" s="69"/>
      <c r="I15" s="70"/>
      <c r="J15" s="57"/>
      <c r="K15" s="57"/>
      <c r="L15" s="2"/>
      <c r="M15" s="2"/>
      <c r="N15" s="2"/>
      <c r="O15" s="2"/>
      <c r="P15" s="2"/>
      <c r="Q15" s="2"/>
      <c r="R15" s="2"/>
      <c r="S15" s="2"/>
      <c r="T15" s="2"/>
      <c r="U15" s="2"/>
      <c r="V15" s="2"/>
      <c r="W15" s="2"/>
      <c r="X15" s="2"/>
      <c r="Y15" s="2"/>
      <c r="Z15" s="2"/>
      <c r="AA15" s="2"/>
      <c r="AB15" s="2"/>
      <c r="AC15" s="2"/>
    </row>
    <row r="16" spans="2:29" ht="15.75">
      <c r="B16" s="2"/>
      <c r="C16" s="68" t="s">
        <v>56</v>
      </c>
      <c r="D16" s="67" t="s">
        <v>63</v>
      </c>
      <c r="E16" s="68"/>
      <c r="F16" s="69">
        <f>Variables!E63*E15</f>
        <v>100000</v>
      </c>
      <c r="G16" s="69"/>
      <c r="H16" s="69"/>
      <c r="I16" s="70"/>
      <c r="J16" s="57"/>
      <c r="K16" s="57"/>
      <c r="L16" s="2"/>
      <c r="M16" s="2"/>
      <c r="N16" s="2"/>
      <c r="O16" s="2"/>
      <c r="P16" s="2"/>
      <c r="Q16" s="2"/>
      <c r="R16" s="2"/>
      <c r="S16" s="2"/>
      <c r="T16" s="2"/>
      <c r="U16" s="2"/>
      <c r="V16" s="2"/>
      <c r="W16" s="2"/>
      <c r="X16" s="2"/>
      <c r="Y16" s="2"/>
      <c r="Z16" s="2"/>
      <c r="AA16" s="2"/>
      <c r="AB16" s="2"/>
      <c r="AC16" s="2"/>
    </row>
    <row r="17" spans="2:29" ht="15.75">
      <c r="B17" s="2"/>
      <c r="C17" s="72"/>
      <c r="D17" s="68" t="s">
        <v>30</v>
      </c>
      <c r="E17" s="68"/>
      <c r="F17" s="69"/>
      <c r="G17" s="69">
        <f>Variables!E66*F16*E15</f>
        <v>14000.000000000002</v>
      </c>
      <c r="H17" s="69"/>
      <c r="I17" s="70"/>
      <c r="J17" s="57"/>
      <c r="K17" s="57"/>
      <c r="L17" s="2"/>
      <c r="M17" s="2"/>
      <c r="N17" s="2"/>
      <c r="O17" s="2"/>
      <c r="P17" s="2"/>
      <c r="Q17" s="2"/>
      <c r="R17" s="2"/>
      <c r="S17" s="2"/>
      <c r="T17" s="2"/>
      <c r="U17" s="2"/>
      <c r="V17" s="2"/>
      <c r="W17" s="2"/>
      <c r="X17" s="2"/>
      <c r="Y17" s="2"/>
      <c r="Z17" s="2"/>
      <c r="AA17" s="2"/>
      <c r="AB17" s="2"/>
      <c r="AC17" s="2"/>
    </row>
    <row r="18" spans="2:29" ht="15.75">
      <c r="B18" s="2"/>
      <c r="C18" s="71"/>
      <c r="D18" s="68" t="s">
        <v>21</v>
      </c>
      <c r="E18" s="68"/>
      <c r="F18" s="69"/>
      <c r="G18" s="69"/>
      <c r="H18" s="69">
        <f>$E$15*Variables!E98*'3.Machine Processing '!E25</f>
        <v>280519.28834355826</v>
      </c>
      <c r="I18" s="70"/>
      <c r="J18" s="57"/>
      <c r="K18" s="57"/>
      <c r="L18" s="2"/>
      <c r="M18" s="2"/>
      <c r="N18" s="2"/>
      <c r="O18" s="2"/>
      <c r="P18" s="2"/>
      <c r="Q18" s="2"/>
      <c r="R18" s="2"/>
      <c r="S18" s="2"/>
      <c r="T18" s="2"/>
      <c r="U18" s="2"/>
      <c r="V18" s="2"/>
      <c r="W18" s="2"/>
      <c r="X18" s="2"/>
      <c r="Y18" s="2"/>
      <c r="Z18" s="2"/>
      <c r="AA18" s="2"/>
      <c r="AB18" s="2"/>
      <c r="AC18" s="2"/>
    </row>
    <row r="19" spans="2:29" ht="15.75">
      <c r="B19" s="2"/>
      <c r="C19" s="71"/>
      <c r="D19" s="68" t="s">
        <v>22</v>
      </c>
      <c r="E19" s="68"/>
      <c r="F19" s="69"/>
      <c r="G19" s="69"/>
      <c r="H19" s="69">
        <f>$E$15*Variables!E99*'3.Machine Processing '!E26</f>
        <v>0</v>
      </c>
      <c r="I19" s="70"/>
      <c r="J19" s="57"/>
      <c r="K19" s="57"/>
      <c r="L19" s="2"/>
      <c r="M19" s="2"/>
      <c r="N19" s="2"/>
      <c r="O19" s="2"/>
      <c r="P19" s="2"/>
      <c r="Q19" s="2"/>
      <c r="R19" s="2"/>
      <c r="S19" s="2"/>
      <c r="T19" s="2"/>
      <c r="U19" s="2"/>
      <c r="V19" s="2"/>
      <c r="W19" s="2"/>
      <c r="X19" s="2"/>
      <c r="Y19" s="2"/>
      <c r="Z19" s="2"/>
      <c r="AA19" s="2"/>
      <c r="AB19" s="2"/>
      <c r="AC19" s="2"/>
    </row>
    <row r="20" spans="2:29" ht="15.75">
      <c r="B20" s="2"/>
      <c r="C20" s="72"/>
      <c r="D20" s="102" t="s">
        <v>170</v>
      </c>
      <c r="E20" s="68"/>
      <c r="F20" s="69"/>
      <c r="G20" s="69"/>
      <c r="H20" s="69"/>
      <c r="I20" s="277">
        <f>'3.Machine Processing '!I3/1000*Variables!E115*E15</f>
        <v>5247809.8159509199</v>
      </c>
      <c r="J20" s="57"/>
      <c r="K20" s="448" t="s">
        <v>349</v>
      </c>
      <c r="L20" s="2"/>
      <c r="M20" s="2"/>
      <c r="N20" s="2"/>
      <c r="O20" s="2"/>
      <c r="P20" s="2"/>
      <c r="Q20" s="2"/>
      <c r="R20" s="2"/>
      <c r="S20" s="2"/>
      <c r="T20" s="2"/>
      <c r="U20" s="2"/>
      <c r="V20" s="2"/>
      <c r="W20" s="2"/>
      <c r="X20" s="2"/>
      <c r="Y20" s="2"/>
      <c r="Z20" s="2"/>
      <c r="AA20" s="2"/>
      <c r="AB20" s="2"/>
      <c r="AC20" s="2"/>
    </row>
    <row r="21" spans="2:29" ht="15.75">
      <c r="B21" s="2"/>
      <c r="C21" s="72"/>
      <c r="D21" s="67" t="s">
        <v>54</v>
      </c>
      <c r="E21" s="68"/>
      <c r="F21" s="69"/>
      <c r="G21" s="69"/>
      <c r="H21" s="69"/>
      <c r="I21" s="70"/>
      <c r="J21" s="57"/>
      <c r="K21" s="57"/>
      <c r="L21" s="2"/>
      <c r="M21" s="2"/>
      <c r="N21" s="2"/>
      <c r="O21" s="2"/>
      <c r="P21" s="2"/>
      <c r="Q21" s="2"/>
      <c r="R21" s="2"/>
      <c r="S21" s="2"/>
      <c r="T21" s="2"/>
      <c r="U21" s="2"/>
      <c r="V21" s="2"/>
      <c r="W21" s="2"/>
      <c r="X21" s="2"/>
      <c r="Y21" s="2"/>
      <c r="Z21" s="2"/>
      <c r="AA21" s="2"/>
      <c r="AB21" s="2"/>
      <c r="AC21" s="2"/>
    </row>
    <row r="22" spans="2:29" ht="15.75">
      <c r="B22" s="2"/>
      <c r="C22" s="73" t="s">
        <v>138</v>
      </c>
      <c r="D22" s="73"/>
      <c r="E22" s="68">
        <v>1</v>
      </c>
      <c r="F22" s="74"/>
      <c r="G22" s="69"/>
      <c r="H22" s="69"/>
      <c r="I22" s="70"/>
      <c r="J22" s="57"/>
      <c r="K22" s="57"/>
      <c r="L22" s="2"/>
      <c r="M22" s="2"/>
      <c r="N22" s="2"/>
      <c r="O22" s="2"/>
      <c r="P22" s="2"/>
      <c r="Q22" s="2"/>
      <c r="R22" s="2"/>
      <c r="S22" s="2"/>
      <c r="T22" s="2"/>
      <c r="U22" s="2"/>
      <c r="V22" s="2"/>
      <c r="W22" s="2"/>
      <c r="X22" s="2"/>
      <c r="Y22" s="2"/>
      <c r="Z22" s="2"/>
      <c r="AA22" s="2"/>
      <c r="AB22" s="2"/>
      <c r="AC22" s="2"/>
    </row>
    <row r="23" spans="2:29" ht="15.75">
      <c r="B23" s="2"/>
      <c r="C23" s="71"/>
      <c r="D23" s="67" t="s">
        <v>63</v>
      </c>
      <c r="E23" s="68"/>
      <c r="F23" s="69">
        <f>Variables!E67*E22</f>
        <v>30000</v>
      </c>
      <c r="G23" s="69"/>
      <c r="H23" s="69"/>
      <c r="I23" s="70"/>
      <c r="J23" s="57"/>
      <c r="K23" s="57"/>
      <c r="L23" s="2"/>
      <c r="M23" s="2"/>
      <c r="N23" s="2"/>
      <c r="O23" s="2"/>
      <c r="P23" s="2"/>
      <c r="Q23" s="2"/>
      <c r="R23" s="2"/>
      <c r="S23" s="2"/>
      <c r="T23" s="2"/>
      <c r="U23" s="2"/>
      <c r="V23" s="2"/>
      <c r="W23" s="2"/>
      <c r="X23" s="2"/>
      <c r="Y23" s="2"/>
      <c r="Z23" s="2"/>
      <c r="AA23" s="2"/>
      <c r="AB23" s="2"/>
      <c r="AC23" s="2"/>
    </row>
    <row r="24" spans="2:29" ht="15.75">
      <c r="B24" s="2"/>
      <c r="C24" s="73"/>
      <c r="D24" s="68" t="s">
        <v>30</v>
      </c>
      <c r="E24" s="68"/>
      <c r="F24" s="69"/>
      <c r="G24" s="69">
        <f>Variables!E70*F23*E22</f>
        <v>4200</v>
      </c>
      <c r="H24" s="69"/>
      <c r="I24" s="70"/>
      <c r="J24" s="57"/>
      <c r="K24" s="57"/>
      <c r="L24" s="2"/>
      <c r="M24" s="2"/>
      <c r="N24" s="2"/>
      <c r="O24" s="2"/>
      <c r="P24" s="2"/>
      <c r="Q24" s="2"/>
      <c r="R24" s="2"/>
      <c r="S24" s="2"/>
      <c r="T24" s="2"/>
      <c r="U24" s="2"/>
      <c r="V24" s="2"/>
      <c r="W24" s="2"/>
      <c r="X24" s="2"/>
      <c r="Y24" s="2"/>
      <c r="Z24" s="2"/>
      <c r="AA24" s="2"/>
      <c r="AB24" s="2"/>
      <c r="AC24" s="2"/>
    </row>
    <row r="25" spans="2:29" ht="15.75">
      <c r="B25" s="2"/>
      <c r="C25" s="73"/>
      <c r="D25" s="68" t="s">
        <v>21</v>
      </c>
      <c r="E25" s="68"/>
      <c r="F25" s="69"/>
      <c r="G25" s="69"/>
      <c r="H25" s="69">
        <f>$E$22*'3.Machine Processing '!E31*Variables!E98</f>
        <v>0</v>
      </c>
      <c r="I25" s="70"/>
      <c r="J25" s="57"/>
      <c r="K25" s="448" t="s">
        <v>350</v>
      </c>
      <c r="L25" s="2"/>
      <c r="M25" s="2"/>
      <c r="N25" s="2"/>
      <c r="O25" s="2"/>
      <c r="P25" s="2"/>
      <c r="Q25" s="2"/>
      <c r="R25" s="2"/>
      <c r="S25" s="2"/>
      <c r="T25" s="2"/>
      <c r="U25" s="2"/>
      <c r="V25" s="2"/>
      <c r="W25" s="2"/>
      <c r="X25" s="2"/>
      <c r="Y25" s="2"/>
      <c r="Z25" s="2"/>
      <c r="AA25" s="2"/>
      <c r="AB25" s="2"/>
      <c r="AC25" s="2"/>
    </row>
    <row r="26" spans="2:29" ht="15.75">
      <c r="B26" s="2"/>
      <c r="C26" s="73"/>
      <c r="D26" s="68" t="s">
        <v>22</v>
      </c>
      <c r="E26" s="68"/>
      <c r="F26" s="69"/>
      <c r="G26" s="69"/>
      <c r="H26" s="69">
        <f>$E$22*'3.Machine Processing '!E32*Variables!E99</f>
        <v>0</v>
      </c>
      <c r="I26" s="70"/>
      <c r="J26" s="57"/>
      <c r="K26" s="57"/>
      <c r="L26" s="2"/>
      <c r="M26" s="2"/>
      <c r="N26" s="2"/>
      <c r="O26" s="2"/>
      <c r="P26" s="2"/>
      <c r="Q26" s="2"/>
      <c r="R26" s="2"/>
      <c r="S26" s="2"/>
      <c r="T26" s="2"/>
      <c r="U26" s="2"/>
      <c r="V26" s="2"/>
      <c r="W26" s="2"/>
      <c r="X26" s="2"/>
      <c r="Y26" s="2"/>
      <c r="Z26" s="2"/>
      <c r="AA26" s="2"/>
      <c r="AB26" s="2"/>
      <c r="AC26" s="2"/>
    </row>
    <row r="27" spans="2:29" ht="15.75">
      <c r="B27" s="2"/>
      <c r="C27" s="73"/>
      <c r="D27" s="68" t="s">
        <v>54</v>
      </c>
      <c r="E27" s="68"/>
      <c r="F27" s="69"/>
      <c r="G27" s="69"/>
      <c r="H27" s="69"/>
      <c r="I27" s="70"/>
      <c r="J27" s="57"/>
      <c r="K27" s="57"/>
      <c r="L27" s="2"/>
      <c r="M27" s="2"/>
      <c r="N27" s="2"/>
      <c r="O27" s="2"/>
      <c r="P27" s="2"/>
      <c r="Q27" s="2"/>
      <c r="R27" s="2"/>
      <c r="S27" s="2"/>
      <c r="T27" s="2"/>
      <c r="U27" s="2"/>
      <c r="V27" s="2"/>
      <c r="W27" s="2"/>
      <c r="X27" s="2"/>
      <c r="Y27" s="2"/>
      <c r="Z27" s="2"/>
      <c r="AA27" s="2"/>
      <c r="AB27" s="2"/>
      <c r="AC27" s="2"/>
    </row>
    <row r="28" spans="2:29" ht="15.75">
      <c r="B28" s="2"/>
      <c r="C28" s="72" t="s">
        <v>132</v>
      </c>
      <c r="D28" s="72"/>
      <c r="E28" s="68">
        <v>1</v>
      </c>
      <c r="F28" s="69"/>
      <c r="G28" s="69"/>
      <c r="H28" s="69"/>
      <c r="I28" s="70"/>
      <c r="J28" s="57"/>
      <c r="K28" s="57"/>
      <c r="L28" s="2"/>
      <c r="M28" s="2"/>
      <c r="N28" s="2"/>
      <c r="O28" s="2"/>
      <c r="P28" s="2"/>
      <c r="Q28" s="2"/>
      <c r="R28" s="2"/>
      <c r="S28" s="2"/>
      <c r="T28" s="2"/>
      <c r="U28" s="2"/>
      <c r="V28" s="2"/>
      <c r="W28" s="2"/>
      <c r="X28" s="2"/>
      <c r="Y28" s="2"/>
      <c r="Z28" s="2"/>
      <c r="AA28" s="2"/>
      <c r="AB28" s="2"/>
      <c r="AC28" s="2"/>
    </row>
    <row r="29" spans="2:29" ht="15.75">
      <c r="B29" s="2"/>
      <c r="C29" s="68"/>
      <c r="D29" s="67" t="s">
        <v>63</v>
      </c>
      <c r="E29" s="68"/>
      <c r="F29" s="69">
        <f>Variables!E71*E28</f>
        <v>200000</v>
      </c>
      <c r="G29" s="69"/>
      <c r="H29" s="69"/>
      <c r="I29" s="70"/>
      <c r="J29" s="57"/>
      <c r="K29" s="57"/>
      <c r="L29" s="2"/>
      <c r="M29" s="2"/>
      <c r="N29" s="2"/>
      <c r="O29" s="2"/>
      <c r="P29" s="2"/>
      <c r="Q29" s="2"/>
      <c r="R29" s="2"/>
      <c r="S29" s="2"/>
      <c r="T29" s="2"/>
      <c r="U29" s="2"/>
      <c r="V29" s="2"/>
      <c r="W29" s="2"/>
      <c r="X29" s="2"/>
      <c r="Y29" s="2"/>
      <c r="Z29" s="2"/>
      <c r="AA29" s="2"/>
      <c r="AB29" s="2"/>
      <c r="AC29" s="2"/>
    </row>
    <row r="30" spans="2:29" ht="15.75">
      <c r="B30" s="2"/>
      <c r="C30" s="71"/>
      <c r="D30" s="68" t="s">
        <v>30</v>
      </c>
      <c r="E30" s="68"/>
      <c r="F30" s="69"/>
      <c r="G30" s="69">
        <f>Variables!$E$74*F29*E28</f>
        <v>28000.000000000004</v>
      </c>
      <c r="H30" s="69"/>
      <c r="I30" s="70"/>
      <c r="J30" s="57"/>
      <c r="K30" s="57"/>
      <c r="L30" s="2"/>
      <c r="M30" s="2"/>
      <c r="N30" s="2"/>
      <c r="O30" s="2"/>
      <c r="P30" s="2"/>
      <c r="Q30" s="2"/>
      <c r="R30" s="2"/>
      <c r="S30" s="2"/>
      <c r="T30" s="2"/>
      <c r="U30" s="2"/>
      <c r="V30" s="2"/>
      <c r="W30" s="2"/>
      <c r="X30" s="2"/>
      <c r="Y30" s="2"/>
      <c r="Z30" s="2"/>
      <c r="AA30" s="2"/>
      <c r="AB30" s="2"/>
      <c r="AC30" s="2"/>
    </row>
    <row r="31" spans="2:29" ht="15.75">
      <c r="B31" s="2"/>
      <c r="C31" s="72"/>
      <c r="D31" s="68" t="s">
        <v>21</v>
      </c>
      <c r="E31" s="68"/>
      <c r="F31" s="69"/>
      <c r="G31" s="69"/>
      <c r="H31" s="69">
        <f>$E$28*'3.Machine Processing '!E38*Variables!E98</f>
        <v>196477.99950920246</v>
      </c>
      <c r="I31" s="70"/>
      <c r="J31" s="57"/>
      <c r="K31" s="57"/>
      <c r="L31" s="2"/>
      <c r="M31" s="2"/>
      <c r="N31" s="2"/>
      <c r="O31" s="2"/>
      <c r="P31" s="2"/>
      <c r="Q31" s="2"/>
      <c r="R31" s="2"/>
      <c r="S31" s="2"/>
      <c r="T31" s="2"/>
      <c r="U31" s="2"/>
      <c r="V31" s="2"/>
      <c r="W31" s="2"/>
      <c r="X31" s="2"/>
      <c r="Y31" s="2"/>
      <c r="Z31" s="2"/>
      <c r="AA31" s="2"/>
      <c r="AB31" s="2"/>
      <c r="AC31" s="2"/>
    </row>
    <row r="32" spans="2:29" ht="15.75">
      <c r="B32" s="2"/>
      <c r="C32" s="72"/>
      <c r="D32" s="68" t="s">
        <v>22</v>
      </c>
      <c r="E32" s="68"/>
      <c r="F32" s="69"/>
      <c r="G32" s="69"/>
      <c r="H32" s="69">
        <f>$E$28*'3.Machine Processing '!E39*Variables!E99</f>
        <v>0</v>
      </c>
      <c r="I32" s="70"/>
      <c r="J32" s="57"/>
      <c r="K32" s="57"/>
      <c r="L32" s="2"/>
      <c r="M32" s="2"/>
      <c r="N32" s="2"/>
      <c r="O32" s="2"/>
      <c r="P32" s="2"/>
      <c r="Q32" s="2"/>
      <c r="R32" s="2"/>
      <c r="S32" s="2"/>
      <c r="T32" s="2"/>
      <c r="U32" s="2"/>
      <c r="V32" s="2"/>
      <c r="W32" s="2"/>
      <c r="X32" s="2"/>
      <c r="Y32" s="2"/>
      <c r="Z32" s="2"/>
      <c r="AA32" s="2"/>
      <c r="AB32" s="2"/>
      <c r="AC32" s="2"/>
    </row>
    <row r="33" spans="2:29" ht="15.75">
      <c r="B33" s="2"/>
      <c r="C33" s="72"/>
      <c r="D33" s="110" t="s">
        <v>137</v>
      </c>
      <c r="E33" s="68"/>
      <c r="F33" s="69"/>
      <c r="G33" s="69"/>
      <c r="H33" s="69">
        <f>'3.Machine Processing '!I4*Variables!E106</f>
        <v>0</v>
      </c>
      <c r="I33" s="70"/>
      <c r="J33" s="57"/>
      <c r="K33" s="57"/>
      <c r="L33" s="2"/>
      <c r="M33" s="2"/>
      <c r="N33" s="2"/>
      <c r="O33" s="2"/>
      <c r="P33" s="2"/>
      <c r="Q33" s="2"/>
      <c r="R33" s="2"/>
      <c r="S33" s="2"/>
      <c r="T33" s="2"/>
      <c r="U33" s="2"/>
      <c r="V33" s="2"/>
      <c r="W33" s="2"/>
      <c r="X33" s="2"/>
      <c r="Y33" s="2"/>
      <c r="Z33" s="2"/>
      <c r="AA33" s="2"/>
      <c r="AB33" s="2"/>
      <c r="AC33" s="2"/>
    </row>
    <row r="34" spans="2:29" ht="15.75">
      <c r="B34" s="2"/>
      <c r="C34" s="72"/>
      <c r="D34" s="67" t="s">
        <v>54</v>
      </c>
      <c r="E34" s="68"/>
      <c r="F34" s="69"/>
      <c r="G34" s="69"/>
      <c r="H34" s="69"/>
      <c r="I34" s="70"/>
      <c r="J34" s="57"/>
      <c r="K34" s="57"/>
      <c r="L34" s="2"/>
      <c r="M34" s="2"/>
      <c r="N34" s="2"/>
      <c r="O34" s="2"/>
      <c r="P34" s="2"/>
      <c r="Q34" s="2"/>
      <c r="R34" s="2"/>
      <c r="S34" s="2"/>
      <c r="T34" s="2"/>
      <c r="U34" s="2"/>
      <c r="V34" s="2"/>
      <c r="W34" s="2"/>
      <c r="X34" s="2"/>
      <c r="Y34" s="2"/>
      <c r="Z34" s="2"/>
      <c r="AA34" s="2"/>
      <c r="AB34" s="2"/>
      <c r="AC34" s="2"/>
    </row>
    <row r="35" spans="2:29" ht="15.75">
      <c r="B35" s="2"/>
      <c r="C35" s="73" t="s">
        <v>149</v>
      </c>
      <c r="D35" s="73"/>
      <c r="E35" s="68">
        <v>1</v>
      </c>
      <c r="F35" s="74"/>
      <c r="G35" s="69"/>
      <c r="H35" s="69"/>
      <c r="I35" s="70"/>
      <c r="J35" s="57"/>
      <c r="K35" s="57"/>
      <c r="L35" s="2"/>
      <c r="M35" s="2"/>
      <c r="N35" s="2"/>
      <c r="O35" s="2"/>
      <c r="P35" s="2"/>
      <c r="Q35" s="2"/>
      <c r="R35" s="2"/>
      <c r="S35" s="2"/>
      <c r="T35" s="2"/>
      <c r="U35" s="2"/>
      <c r="V35" s="2"/>
      <c r="W35" s="2"/>
      <c r="X35" s="2"/>
      <c r="Y35" s="2"/>
      <c r="Z35" s="2"/>
      <c r="AA35" s="2"/>
      <c r="AB35" s="2"/>
      <c r="AC35" s="2"/>
    </row>
    <row r="36" spans="2:29" ht="15.75">
      <c r="B36" s="2"/>
      <c r="C36" s="71"/>
      <c r="D36" s="67" t="s">
        <v>63</v>
      </c>
      <c r="E36" s="68"/>
      <c r="F36" s="69">
        <f>Variables!E75*E35</f>
        <v>200000</v>
      </c>
      <c r="G36" s="69"/>
      <c r="H36" s="69"/>
      <c r="I36" s="70"/>
      <c r="J36" s="57"/>
      <c r="K36" s="57"/>
      <c r="L36" s="2"/>
      <c r="M36" s="2"/>
      <c r="N36" s="2"/>
      <c r="O36" s="2"/>
      <c r="P36" s="2"/>
      <c r="Q36" s="2"/>
      <c r="R36" s="2"/>
      <c r="S36" s="2"/>
      <c r="T36" s="2"/>
      <c r="U36" s="2"/>
      <c r="V36" s="2"/>
      <c r="W36" s="2"/>
      <c r="X36" s="2"/>
      <c r="Y36" s="2"/>
      <c r="Z36" s="2"/>
      <c r="AA36" s="2"/>
      <c r="AB36" s="2"/>
      <c r="AC36" s="2"/>
    </row>
    <row r="37" spans="2:29" ht="15.75">
      <c r="B37" s="2"/>
      <c r="C37" s="73"/>
      <c r="D37" s="68" t="s">
        <v>30</v>
      </c>
      <c r="E37" s="68"/>
      <c r="F37" s="69"/>
      <c r="G37" s="69">
        <f>Variables!$E$78*'3.Process Cost-Benefit'!F36*E35</f>
        <v>28000.000000000004</v>
      </c>
      <c r="H37" s="69"/>
      <c r="I37" s="70"/>
      <c r="J37" s="57"/>
      <c r="K37" s="57"/>
      <c r="L37" s="2"/>
      <c r="M37" s="2"/>
      <c r="N37" s="2"/>
      <c r="O37" s="2"/>
      <c r="P37" s="2"/>
      <c r="Q37" s="2"/>
      <c r="R37" s="2"/>
      <c r="S37" s="2"/>
      <c r="T37" s="2"/>
      <c r="U37" s="2"/>
      <c r="V37" s="2"/>
      <c r="W37" s="2"/>
      <c r="X37" s="2"/>
      <c r="Y37" s="2"/>
      <c r="Z37" s="2"/>
      <c r="AA37" s="2"/>
      <c r="AB37" s="2"/>
      <c r="AC37" s="2"/>
    </row>
    <row r="38" spans="2:29" ht="15.75">
      <c r="B38" s="2"/>
      <c r="C38" s="73"/>
      <c r="D38" s="68" t="s">
        <v>21</v>
      </c>
      <c r="E38" s="68"/>
      <c r="F38" s="69"/>
      <c r="G38" s="69"/>
      <c r="H38" s="69">
        <f>$E$35*'3.Machine Processing '!E45*Variables!E98</f>
        <v>151823.90871165643</v>
      </c>
      <c r="I38" s="70"/>
      <c r="J38" s="57"/>
      <c r="K38" s="57"/>
      <c r="L38" s="2"/>
      <c r="M38" s="2"/>
      <c r="N38" s="2"/>
      <c r="O38" s="2"/>
      <c r="P38" s="2"/>
      <c r="Q38" s="2"/>
      <c r="R38" s="2"/>
      <c r="S38" s="2"/>
      <c r="T38" s="2"/>
      <c r="U38" s="2"/>
      <c r="V38" s="2"/>
      <c r="W38" s="2"/>
      <c r="X38" s="2"/>
      <c r="Y38" s="2"/>
      <c r="Z38" s="2"/>
      <c r="AA38" s="2"/>
      <c r="AB38" s="2"/>
      <c r="AC38" s="2"/>
    </row>
    <row r="39" spans="2:29" ht="15.75">
      <c r="B39" s="2"/>
      <c r="C39" s="73"/>
      <c r="D39" s="68" t="s">
        <v>22</v>
      </c>
      <c r="E39" s="68"/>
      <c r="F39" s="69"/>
      <c r="G39" s="69"/>
      <c r="H39" s="69">
        <f>$E$35*'3.Machine Processing '!E46*Variables!E99</f>
        <v>0</v>
      </c>
      <c r="I39" s="70"/>
      <c r="J39" s="57"/>
      <c r="K39" s="57"/>
      <c r="L39" s="2"/>
      <c r="M39" s="2"/>
      <c r="N39" s="2"/>
      <c r="O39" s="2"/>
      <c r="P39" s="2"/>
      <c r="Q39" s="2"/>
      <c r="R39" s="2"/>
      <c r="S39" s="2"/>
      <c r="T39" s="2"/>
      <c r="U39" s="2"/>
      <c r="V39" s="2"/>
      <c r="W39" s="2"/>
      <c r="X39" s="2"/>
      <c r="Y39" s="2"/>
      <c r="Z39" s="2"/>
      <c r="AA39" s="2"/>
      <c r="AB39" s="2"/>
      <c r="AC39" s="2"/>
    </row>
    <row r="40" spans="2:29" ht="15.75">
      <c r="B40" s="2"/>
      <c r="C40" s="73"/>
      <c r="D40" s="110" t="s">
        <v>137</v>
      </c>
      <c r="E40" s="68"/>
      <c r="F40" s="69"/>
      <c r="G40" s="69"/>
      <c r="H40" s="69"/>
      <c r="I40" s="70"/>
      <c r="J40" s="57"/>
      <c r="K40" s="57"/>
      <c r="L40" s="2"/>
      <c r="M40" s="2"/>
      <c r="N40" s="2"/>
      <c r="O40" s="2"/>
      <c r="P40" s="2"/>
      <c r="Q40" s="2"/>
      <c r="R40" s="2"/>
      <c r="S40" s="2"/>
      <c r="T40" s="2"/>
      <c r="U40" s="2"/>
      <c r="V40" s="2"/>
      <c r="W40" s="2"/>
      <c r="X40" s="2"/>
      <c r="Y40" s="2"/>
      <c r="Z40" s="2"/>
      <c r="AA40" s="2"/>
      <c r="AB40" s="2"/>
      <c r="AC40" s="2"/>
    </row>
    <row r="41" spans="2:29" ht="15.75">
      <c r="B41" s="2"/>
      <c r="C41" s="73"/>
      <c r="D41" s="68" t="s">
        <v>54</v>
      </c>
      <c r="E41" s="68"/>
      <c r="F41" s="69"/>
      <c r="G41" s="69"/>
      <c r="H41" s="69"/>
      <c r="I41" s="70"/>
      <c r="J41" s="57"/>
      <c r="K41" s="57"/>
      <c r="L41" s="2"/>
      <c r="M41" s="2"/>
      <c r="N41" s="2"/>
      <c r="O41" s="2"/>
      <c r="P41" s="2"/>
      <c r="Q41" s="2"/>
      <c r="R41" s="2"/>
      <c r="S41" s="2"/>
      <c r="T41" s="2"/>
      <c r="U41" s="2"/>
      <c r="V41" s="2"/>
      <c r="W41" s="2"/>
      <c r="X41" s="2"/>
      <c r="Y41" s="2"/>
      <c r="Z41" s="2"/>
      <c r="AA41" s="2"/>
      <c r="AB41" s="2"/>
      <c r="AC41" s="2"/>
    </row>
    <row r="42" spans="2:29" ht="15.75">
      <c r="B42" s="2"/>
      <c r="C42" s="72" t="s">
        <v>148</v>
      </c>
      <c r="D42" s="72"/>
      <c r="E42" s="68">
        <v>1</v>
      </c>
      <c r="F42" s="69"/>
      <c r="G42" s="69"/>
      <c r="H42" s="69"/>
      <c r="I42" s="70"/>
      <c r="J42" s="57"/>
      <c r="K42" s="57"/>
      <c r="L42" s="2"/>
      <c r="M42" s="2"/>
      <c r="N42" s="2"/>
      <c r="O42" s="2"/>
      <c r="P42" s="2"/>
      <c r="Q42" s="2"/>
      <c r="R42" s="2"/>
      <c r="S42" s="2"/>
      <c r="T42" s="2"/>
      <c r="U42" s="2"/>
      <c r="V42" s="2"/>
      <c r="W42" s="2"/>
      <c r="X42" s="2"/>
      <c r="Y42" s="2"/>
      <c r="Z42" s="2"/>
      <c r="AA42" s="2"/>
      <c r="AB42" s="2"/>
      <c r="AC42" s="2"/>
    </row>
    <row r="43" spans="2:29" ht="15.75">
      <c r="B43" s="2"/>
      <c r="C43" s="68"/>
      <c r="D43" s="67" t="s">
        <v>63</v>
      </c>
      <c r="E43" s="68"/>
      <c r="F43" s="69">
        <f>Variables!E79*E42</f>
        <v>1000000</v>
      </c>
      <c r="G43" s="69"/>
      <c r="H43" s="69"/>
      <c r="I43" s="70"/>
      <c r="J43" s="57"/>
      <c r="K43" s="57"/>
      <c r="L43" s="2"/>
      <c r="M43" s="2"/>
      <c r="N43" s="2"/>
      <c r="O43" s="2"/>
      <c r="P43" s="2"/>
      <c r="Q43" s="2"/>
      <c r="R43" s="2"/>
      <c r="S43" s="2"/>
      <c r="T43" s="2"/>
      <c r="U43" s="2"/>
      <c r="V43" s="2"/>
      <c r="W43" s="2"/>
      <c r="X43" s="2"/>
      <c r="Y43" s="2"/>
      <c r="Z43" s="2"/>
      <c r="AA43" s="2"/>
      <c r="AB43" s="2"/>
      <c r="AC43" s="2"/>
    </row>
    <row r="44" spans="2:29" ht="15.75">
      <c r="B44" s="2"/>
      <c r="C44" s="71"/>
      <c r="D44" s="68" t="s">
        <v>30</v>
      </c>
      <c r="E44" s="68"/>
      <c r="F44" s="69"/>
      <c r="G44" s="69">
        <f>Variables!$E$82*'3.Process Cost-Benefit'!F43*E42</f>
        <v>140000</v>
      </c>
      <c r="H44" s="69"/>
      <c r="I44" s="70"/>
      <c r="J44" s="57"/>
      <c r="K44" s="57"/>
      <c r="L44" s="2"/>
      <c r="M44" s="2"/>
      <c r="N44" s="2"/>
      <c r="O44" s="2"/>
      <c r="P44" s="2"/>
      <c r="Q44" s="2"/>
      <c r="R44" s="2"/>
      <c r="S44" s="2"/>
      <c r="T44" s="2"/>
      <c r="U44" s="2"/>
      <c r="V44" s="2"/>
      <c r="W44" s="2"/>
      <c r="X44" s="2"/>
      <c r="Y44" s="2"/>
      <c r="Z44" s="2"/>
      <c r="AA44" s="2"/>
      <c r="AB44" s="2"/>
      <c r="AC44" s="2"/>
    </row>
    <row r="45" spans="2:29" ht="15.75">
      <c r="B45" s="2"/>
      <c r="C45" s="72"/>
      <c r="D45" s="68" t="s">
        <v>21</v>
      </c>
      <c r="E45" s="68"/>
      <c r="F45" s="69"/>
      <c r="G45" s="69"/>
      <c r="H45" s="69">
        <f>$E$42*'3.Machine Processing '!E52*Variables!E98</f>
        <v>207909.44675337418</v>
      </c>
      <c r="I45" s="70"/>
      <c r="J45" s="57"/>
      <c r="K45" s="57"/>
      <c r="L45" s="2"/>
      <c r="M45" s="2"/>
      <c r="N45" s="2"/>
      <c r="O45" s="2"/>
      <c r="P45" s="2"/>
      <c r="Q45" s="2"/>
      <c r="R45" s="2"/>
      <c r="S45" s="2"/>
      <c r="T45" s="2"/>
      <c r="U45" s="2"/>
      <c r="V45" s="2"/>
      <c r="W45" s="2"/>
      <c r="X45" s="2"/>
      <c r="Y45" s="2"/>
      <c r="Z45" s="2"/>
      <c r="AA45" s="2"/>
      <c r="AB45" s="2"/>
      <c r="AC45" s="2"/>
    </row>
    <row r="46" spans="2:29" ht="15.75">
      <c r="B46" s="2"/>
      <c r="C46" s="72"/>
      <c r="D46" s="68" t="s">
        <v>22</v>
      </c>
      <c r="E46" s="68"/>
      <c r="F46" s="69"/>
      <c r="G46" s="69"/>
      <c r="H46" s="69">
        <f>$E$42*'3.Machine Processing '!E53*Variables!E99</f>
        <v>0</v>
      </c>
      <c r="I46" s="70"/>
      <c r="J46" s="57"/>
      <c r="K46" s="57"/>
      <c r="L46" s="2"/>
      <c r="M46" s="2"/>
      <c r="N46" s="2"/>
      <c r="O46" s="2"/>
      <c r="P46" s="2"/>
      <c r="Q46" s="2"/>
      <c r="R46" s="2"/>
      <c r="S46" s="2"/>
      <c r="T46" s="2"/>
      <c r="U46" s="2"/>
      <c r="V46" s="2"/>
      <c r="W46" s="2"/>
      <c r="X46" s="2"/>
      <c r="Y46" s="2"/>
      <c r="Z46" s="2"/>
      <c r="AA46" s="2"/>
      <c r="AB46" s="2"/>
      <c r="AC46" s="2"/>
    </row>
    <row r="47" spans="2:29" ht="15.75">
      <c r="B47" s="2"/>
      <c r="C47" s="72"/>
      <c r="D47" s="278" t="s">
        <v>176</v>
      </c>
      <c r="E47" s="68"/>
      <c r="F47" s="69"/>
      <c r="G47" s="69"/>
      <c r="H47" s="69"/>
      <c r="I47" s="69"/>
      <c r="J47" s="57"/>
      <c r="K47" s="233"/>
      <c r="L47" s="2"/>
      <c r="M47" s="2"/>
      <c r="N47" s="2"/>
      <c r="O47" s="2"/>
      <c r="P47" s="2"/>
      <c r="Q47" s="2"/>
      <c r="R47" s="2"/>
      <c r="S47" s="2"/>
      <c r="T47" s="2"/>
      <c r="U47" s="2"/>
      <c r="V47" s="2"/>
      <c r="W47" s="2"/>
      <c r="X47" s="2"/>
      <c r="Y47" s="2"/>
      <c r="Z47" s="2"/>
      <c r="AA47" s="2"/>
      <c r="AB47" s="2"/>
      <c r="AC47" s="2"/>
    </row>
    <row r="48" spans="2:29" ht="15.75">
      <c r="B48" s="2"/>
      <c r="C48" s="72"/>
      <c r="D48" s="318" t="s">
        <v>203</v>
      </c>
      <c r="E48" s="68"/>
      <c r="F48" s="69"/>
      <c r="G48" s="69"/>
      <c r="H48" s="69"/>
      <c r="I48" s="70"/>
      <c r="J48" s="57"/>
      <c r="K48" s="57"/>
      <c r="L48" s="2"/>
      <c r="M48" s="2"/>
      <c r="N48" s="2"/>
      <c r="O48" s="2"/>
      <c r="P48" s="2"/>
      <c r="Q48" s="2"/>
      <c r="R48" s="2"/>
      <c r="S48" s="2"/>
      <c r="T48" s="2"/>
      <c r="U48" s="2"/>
      <c r="V48" s="2"/>
      <c r="W48" s="2"/>
      <c r="X48" s="2"/>
      <c r="Y48" s="2"/>
      <c r="Z48" s="2"/>
      <c r="AA48" s="2"/>
      <c r="AB48" s="2"/>
      <c r="AC48" s="2"/>
    </row>
    <row r="49" spans="2:29" ht="15.75">
      <c r="B49" s="2"/>
      <c r="C49" s="73" t="s">
        <v>206</v>
      </c>
      <c r="D49" s="73"/>
      <c r="E49" s="68">
        <v>0</v>
      </c>
      <c r="F49" s="69"/>
      <c r="G49" s="69"/>
      <c r="H49" s="69"/>
      <c r="I49" s="70"/>
      <c r="J49" s="57"/>
      <c r="K49" s="551" t="s">
        <v>344</v>
      </c>
      <c r="L49" s="2"/>
      <c r="M49" s="2"/>
      <c r="N49" s="2"/>
      <c r="O49" s="2"/>
      <c r="P49" s="2"/>
      <c r="Q49" s="2"/>
      <c r="R49" s="2"/>
      <c r="S49" s="2"/>
      <c r="T49" s="2"/>
      <c r="U49" s="2"/>
      <c r="V49" s="2"/>
      <c r="W49" s="2"/>
      <c r="X49" s="2"/>
      <c r="Y49" s="2"/>
      <c r="Z49" s="2"/>
      <c r="AA49" s="2"/>
      <c r="AB49" s="2"/>
      <c r="AC49" s="2"/>
    </row>
    <row r="50" spans="2:29" ht="15.75">
      <c r="B50" s="2"/>
      <c r="C50" s="71"/>
      <c r="D50" s="67" t="s">
        <v>63</v>
      </c>
      <c r="E50" s="68"/>
      <c r="F50" s="69">
        <f>Variables!E83*E49</f>
        <v>0</v>
      </c>
      <c r="G50" s="69"/>
      <c r="H50" s="69"/>
      <c r="I50" s="70"/>
      <c r="J50" s="57"/>
      <c r="K50" s="57"/>
      <c r="L50" s="2"/>
      <c r="M50" s="2"/>
      <c r="N50" s="2"/>
      <c r="O50" s="2"/>
      <c r="P50" s="2"/>
      <c r="Q50" s="2"/>
      <c r="R50" s="2"/>
      <c r="S50" s="2"/>
      <c r="T50" s="2"/>
      <c r="U50" s="2"/>
      <c r="V50" s="2"/>
      <c r="W50" s="2"/>
      <c r="X50" s="2"/>
      <c r="Y50" s="2"/>
      <c r="Z50" s="2"/>
      <c r="AA50" s="2"/>
      <c r="AB50" s="2"/>
      <c r="AC50" s="2"/>
    </row>
    <row r="51" spans="2:29" ht="15.75">
      <c r="B51" s="2"/>
      <c r="C51" s="73"/>
      <c r="D51" s="68" t="s">
        <v>30</v>
      </c>
      <c r="E51" s="68"/>
      <c r="F51" s="69"/>
      <c r="G51" s="69">
        <f>Variables!$E$86*'3.Process Cost-Benefit'!F50*E49</f>
        <v>0</v>
      </c>
      <c r="H51" s="69"/>
      <c r="I51" s="70"/>
      <c r="J51" s="57"/>
      <c r="K51" s="57"/>
      <c r="L51" s="2"/>
      <c r="M51" s="2"/>
      <c r="N51" s="2"/>
      <c r="O51" s="2"/>
      <c r="P51" s="2"/>
      <c r="Q51" s="2"/>
      <c r="R51" s="2"/>
      <c r="S51" s="2"/>
      <c r="T51" s="2"/>
      <c r="U51" s="2"/>
      <c r="V51" s="2"/>
      <c r="W51" s="2"/>
      <c r="X51" s="2"/>
      <c r="Y51" s="2"/>
      <c r="Z51" s="2"/>
      <c r="AA51" s="2"/>
      <c r="AB51" s="2"/>
      <c r="AC51" s="2"/>
    </row>
    <row r="52" spans="2:29" ht="15.75">
      <c r="B52" s="2"/>
      <c r="C52" s="75"/>
      <c r="D52" s="68" t="s">
        <v>21</v>
      </c>
      <c r="E52" s="68"/>
      <c r="F52" s="69"/>
      <c r="G52" s="69"/>
      <c r="H52" s="69">
        <f>$E$49*'3.Machine Processing '!E60*Variables!E98</f>
        <v>0</v>
      </c>
      <c r="I52" s="70"/>
      <c r="J52" s="57"/>
      <c r="K52" s="57"/>
      <c r="L52" s="2"/>
      <c r="M52" s="2"/>
      <c r="N52" s="2"/>
      <c r="O52" s="2"/>
      <c r="P52" s="2"/>
      <c r="Q52" s="2"/>
      <c r="R52" s="2"/>
      <c r="S52" s="2"/>
      <c r="T52" s="2"/>
      <c r="U52" s="2"/>
      <c r="V52" s="2"/>
      <c r="W52" s="2"/>
      <c r="X52" s="2"/>
      <c r="Y52" s="2"/>
      <c r="Z52" s="2"/>
      <c r="AA52" s="2"/>
      <c r="AB52" s="2"/>
      <c r="AC52" s="2"/>
    </row>
    <row r="53" spans="2:29" ht="15.75">
      <c r="B53" s="2"/>
      <c r="C53" s="75"/>
      <c r="D53" s="68" t="s">
        <v>22</v>
      </c>
      <c r="E53" s="68"/>
      <c r="F53" s="69"/>
      <c r="G53" s="69"/>
      <c r="H53" s="69">
        <f>$E$49*'3.Machine Processing '!E61*Variables!E99</f>
        <v>0</v>
      </c>
      <c r="I53" s="70"/>
      <c r="J53" s="57"/>
      <c r="K53" s="57"/>
      <c r="L53" s="2"/>
      <c r="M53" s="2"/>
      <c r="N53" s="2"/>
      <c r="O53" s="2"/>
      <c r="P53" s="2"/>
      <c r="Q53" s="2"/>
      <c r="R53" s="2"/>
      <c r="S53" s="2"/>
      <c r="T53" s="2"/>
      <c r="U53" s="2"/>
      <c r="V53" s="2"/>
      <c r="W53" s="2"/>
      <c r="X53" s="2"/>
      <c r="Y53" s="2"/>
      <c r="Z53" s="2"/>
      <c r="AA53" s="2"/>
      <c r="AB53" s="2"/>
      <c r="AC53" s="2"/>
    </row>
    <row r="54" spans="2:29" ht="15.75">
      <c r="B54" s="2"/>
      <c r="C54" s="76"/>
      <c r="D54" s="77" t="s">
        <v>343</v>
      </c>
      <c r="E54" s="78"/>
      <c r="F54" s="69"/>
      <c r="G54" s="69"/>
      <c r="H54" s="277">
        <f>E49*'3.Machine Processing '!E62/1000*Variables!E103+Variables!E104*'3.Machine Processing '!E63/1000*E49</f>
        <v>0</v>
      </c>
      <c r="I54" s="70"/>
      <c r="J54" s="57"/>
      <c r="K54" s="57"/>
      <c r="L54" s="2"/>
      <c r="M54" s="2"/>
      <c r="N54" s="2"/>
      <c r="O54" s="2"/>
      <c r="P54" s="2"/>
      <c r="Q54" s="2"/>
      <c r="R54" s="2"/>
      <c r="S54" s="2"/>
      <c r="T54" s="2"/>
      <c r="U54" s="2"/>
      <c r="V54" s="2"/>
      <c r="W54" s="2"/>
      <c r="X54" s="2"/>
      <c r="Y54" s="2"/>
      <c r="Z54" s="2"/>
      <c r="AA54" s="2"/>
      <c r="AB54" s="2"/>
      <c r="AC54" s="2"/>
    </row>
    <row r="55" spans="2:29" ht="15.75">
      <c r="B55" s="2"/>
      <c r="C55" s="75"/>
      <c r="D55" s="102" t="s">
        <v>57</v>
      </c>
      <c r="E55" s="68"/>
      <c r="F55" s="69"/>
      <c r="G55" s="69"/>
      <c r="H55" s="277"/>
      <c r="I55" s="277">
        <f>E49*'3.Machine Processing '!I5*Variables!E120</f>
        <v>0</v>
      </c>
      <c r="J55" s="222"/>
      <c r="K55" s="448"/>
      <c r="L55" s="2"/>
      <c r="M55" s="2"/>
      <c r="N55" s="2"/>
      <c r="O55" s="2"/>
      <c r="P55" s="2"/>
      <c r="Q55" s="2"/>
      <c r="R55" s="2"/>
      <c r="S55" s="2"/>
      <c r="T55" s="2"/>
      <c r="U55" s="2"/>
      <c r="V55" s="2"/>
      <c r="W55" s="2"/>
      <c r="X55" s="2"/>
      <c r="Y55" s="2"/>
      <c r="Z55" s="2"/>
      <c r="AA55" s="2"/>
      <c r="AB55" s="2"/>
      <c r="AC55" s="2"/>
    </row>
    <row r="56" spans="2:29" ht="15.75">
      <c r="B56" s="2"/>
      <c r="C56" s="75"/>
      <c r="D56" s="102" t="s">
        <v>144</v>
      </c>
      <c r="E56" s="68"/>
      <c r="F56" s="69"/>
      <c r="G56" s="69"/>
      <c r="H56" s="277">
        <f>'3.Machine Processing '!I6*Variables!E105</f>
        <v>0</v>
      </c>
      <c r="I56" s="277"/>
      <c r="J56" s="222"/>
      <c r="K56" s="57"/>
      <c r="L56" s="2"/>
      <c r="M56" s="2"/>
      <c r="N56" s="2"/>
      <c r="O56" s="2"/>
      <c r="P56" s="2"/>
      <c r="Q56" s="2"/>
      <c r="R56" s="2"/>
      <c r="S56" s="2"/>
      <c r="T56" s="2"/>
      <c r="U56" s="2"/>
      <c r="V56" s="2"/>
      <c r="W56" s="2"/>
      <c r="X56" s="2"/>
      <c r="Y56" s="2"/>
      <c r="Z56" s="2"/>
      <c r="AA56" s="2"/>
      <c r="AB56" s="2"/>
      <c r="AC56" s="2"/>
    </row>
    <row r="57" spans="2:29" ht="31.5">
      <c r="B57" s="2"/>
      <c r="C57" s="317" t="s">
        <v>204</v>
      </c>
      <c r="D57" s="73"/>
      <c r="E57" s="68">
        <v>1</v>
      </c>
      <c r="F57" s="69"/>
      <c r="G57" s="69"/>
      <c r="H57" s="69"/>
      <c r="I57" s="70"/>
      <c r="J57" s="57"/>
      <c r="K57" s="57"/>
      <c r="L57" s="2"/>
      <c r="M57" s="2"/>
      <c r="N57" s="2"/>
      <c r="O57" s="2"/>
      <c r="P57" s="2"/>
      <c r="Q57" s="2"/>
      <c r="R57" s="2"/>
      <c r="S57" s="2"/>
      <c r="T57" s="2"/>
      <c r="U57" s="2"/>
      <c r="V57" s="2"/>
      <c r="W57" s="2"/>
      <c r="X57" s="2"/>
      <c r="Y57" s="2"/>
      <c r="Z57" s="2"/>
      <c r="AA57" s="2"/>
      <c r="AB57" s="2"/>
      <c r="AC57" s="2"/>
    </row>
    <row r="58" spans="2:29" ht="15.75">
      <c r="B58" s="2"/>
      <c r="C58" s="71"/>
      <c r="D58" s="67" t="s">
        <v>63</v>
      </c>
      <c r="E58" s="68"/>
      <c r="F58" s="69">
        <f>Variables!E87*E57</f>
        <v>2000000</v>
      </c>
      <c r="G58" s="69"/>
      <c r="H58" s="69"/>
      <c r="I58" s="70"/>
      <c r="J58" s="57"/>
      <c r="K58" s="57"/>
      <c r="L58" s="2"/>
      <c r="M58" s="2"/>
      <c r="N58" s="2"/>
      <c r="O58" s="2"/>
      <c r="P58" s="2"/>
      <c r="Q58" s="2"/>
      <c r="R58" s="2"/>
      <c r="S58" s="2"/>
      <c r="T58" s="2"/>
      <c r="U58" s="2"/>
      <c r="V58" s="2"/>
      <c r="W58" s="2"/>
      <c r="X58" s="2"/>
      <c r="Y58" s="2"/>
      <c r="Z58" s="2"/>
      <c r="AA58" s="2"/>
      <c r="AB58" s="2"/>
      <c r="AC58" s="2"/>
    </row>
    <row r="59" spans="2:29" ht="15.75">
      <c r="B59" s="2"/>
      <c r="C59" s="73"/>
      <c r="D59" s="68" t="s">
        <v>30</v>
      </c>
      <c r="E59" s="68"/>
      <c r="F59" s="69"/>
      <c r="G59" s="69">
        <f>Variables!E94*'3.Process Cost-Benefit'!F58*E57</f>
        <v>280000</v>
      </c>
      <c r="H59" s="69"/>
      <c r="I59" s="70"/>
      <c r="J59" s="57"/>
      <c r="K59" s="57"/>
      <c r="L59" s="2"/>
      <c r="M59" s="2"/>
      <c r="N59" s="2"/>
      <c r="O59" s="2"/>
      <c r="P59" s="2"/>
      <c r="Q59" s="2"/>
      <c r="R59" s="2"/>
      <c r="S59" s="2"/>
      <c r="T59" s="2"/>
      <c r="U59" s="2"/>
      <c r="V59" s="2"/>
      <c r="W59" s="2"/>
      <c r="X59" s="2"/>
      <c r="Y59" s="2"/>
      <c r="Z59" s="2"/>
      <c r="AA59" s="2"/>
      <c r="AB59" s="2"/>
      <c r="AC59" s="2"/>
    </row>
    <row r="60" spans="2:29" ht="15.75">
      <c r="B60" s="2"/>
      <c r="C60" s="75"/>
      <c r="D60" s="68" t="s">
        <v>21</v>
      </c>
      <c r="E60" s="68"/>
      <c r="F60" s="69"/>
      <c r="G60" s="69"/>
      <c r="H60" s="69">
        <f>$E$57*'3.Machine Processing '!E78*Variables!E98</f>
        <v>9702440.8484907951</v>
      </c>
      <c r="I60" s="70"/>
      <c r="J60" s="57"/>
      <c r="K60" s="57"/>
      <c r="L60" s="2"/>
      <c r="M60" s="2"/>
      <c r="N60" s="2"/>
      <c r="O60" s="2"/>
      <c r="P60" s="2"/>
      <c r="Q60" s="2"/>
      <c r="R60" s="2"/>
      <c r="S60" s="2"/>
      <c r="T60" s="2"/>
      <c r="U60" s="2"/>
      <c r="V60" s="2"/>
      <c r="W60" s="2"/>
      <c r="X60" s="2"/>
      <c r="Y60" s="2"/>
      <c r="Z60" s="2"/>
      <c r="AA60" s="2"/>
      <c r="AB60" s="2"/>
      <c r="AC60" s="2"/>
    </row>
    <row r="61" spans="2:29" ht="15.75">
      <c r="B61" s="2"/>
      <c r="C61" s="75"/>
      <c r="D61" s="68" t="s">
        <v>22</v>
      </c>
      <c r="E61" s="68"/>
      <c r="F61" s="69"/>
      <c r="G61" s="69"/>
      <c r="H61" s="69">
        <f>$E$57*'3.Machine Processing '!E79*Variables!E99</f>
        <v>0</v>
      </c>
      <c r="I61" s="70"/>
      <c r="J61" s="57"/>
      <c r="K61" s="57"/>
      <c r="L61" s="2"/>
      <c r="M61" s="2"/>
      <c r="N61" s="2"/>
      <c r="O61" s="2"/>
      <c r="P61" s="2"/>
      <c r="Q61" s="2"/>
      <c r="R61" s="2"/>
      <c r="S61" s="2"/>
      <c r="T61" s="2"/>
      <c r="U61" s="2"/>
      <c r="V61" s="2"/>
      <c r="W61" s="2"/>
      <c r="X61" s="2"/>
      <c r="Y61" s="2"/>
      <c r="Z61" s="2"/>
      <c r="AA61" s="2"/>
      <c r="AB61" s="2"/>
      <c r="AC61" s="2"/>
    </row>
    <row r="62" spans="2:29" ht="15.75">
      <c r="B62" s="2"/>
      <c r="C62" s="73"/>
      <c r="D62" s="318" t="s">
        <v>203</v>
      </c>
      <c r="E62" s="68"/>
      <c r="F62" s="69"/>
      <c r="G62" s="69"/>
      <c r="H62" s="100"/>
      <c r="I62" s="13"/>
      <c r="J62" s="57"/>
      <c r="K62" s="128"/>
      <c r="L62" s="2"/>
      <c r="M62" s="2"/>
      <c r="N62" s="2"/>
      <c r="O62" s="2"/>
      <c r="P62" s="2"/>
      <c r="Q62" s="2"/>
      <c r="R62" s="2"/>
      <c r="S62" s="2"/>
      <c r="T62" s="2"/>
      <c r="U62" s="2"/>
      <c r="V62" s="2"/>
      <c r="W62" s="2"/>
      <c r="X62" s="2"/>
      <c r="Y62" s="2"/>
      <c r="Z62" s="2"/>
      <c r="AA62" s="2"/>
      <c r="AB62" s="2"/>
      <c r="AC62" s="2"/>
    </row>
    <row r="63" spans="2:29" ht="31.5">
      <c r="B63" s="2"/>
      <c r="C63" s="317" t="s">
        <v>207</v>
      </c>
      <c r="D63" s="73"/>
      <c r="E63" s="68">
        <v>1</v>
      </c>
      <c r="F63" s="69"/>
      <c r="G63" s="69"/>
      <c r="H63" s="69"/>
      <c r="I63" s="70"/>
      <c r="J63" s="57"/>
      <c r="K63" s="57"/>
      <c r="L63" s="2"/>
      <c r="M63" s="2"/>
      <c r="N63" s="2"/>
      <c r="O63" s="2"/>
      <c r="P63" s="2"/>
      <c r="Q63" s="2"/>
      <c r="R63" s="2"/>
      <c r="S63" s="2"/>
      <c r="T63" s="2"/>
      <c r="U63" s="2"/>
      <c r="V63" s="2"/>
      <c r="W63" s="2"/>
      <c r="X63" s="2"/>
      <c r="Y63" s="2"/>
      <c r="Z63" s="2"/>
      <c r="AA63" s="2"/>
      <c r="AB63" s="2"/>
      <c r="AC63" s="2"/>
    </row>
    <row r="64" spans="2:29" ht="15.75">
      <c r="B64" s="2"/>
      <c r="C64" s="71"/>
      <c r="D64" s="67" t="s">
        <v>63</v>
      </c>
      <c r="E64" s="68"/>
      <c r="F64" s="69">
        <f>Variables!E91*E63</f>
        <v>300000</v>
      </c>
      <c r="G64" s="69"/>
      <c r="H64" s="69"/>
      <c r="I64" s="70"/>
      <c r="J64" s="57"/>
      <c r="K64" s="57"/>
      <c r="L64" s="2"/>
      <c r="M64" s="2"/>
      <c r="N64" s="2"/>
      <c r="O64" s="2"/>
      <c r="P64" s="2"/>
      <c r="Q64" s="2"/>
      <c r="R64" s="2"/>
      <c r="S64" s="2"/>
      <c r="T64" s="2"/>
      <c r="U64" s="2"/>
      <c r="V64" s="2"/>
      <c r="W64" s="2"/>
      <c r="X64" s="2"/>
      <c r="Y64" s="2"/>
      <c r="Z64" s="2"/>
      <c r="AA64" s="2"/>
      <c r="AB64" s="2"/>
      <c r="AC64" s="2"/>
    </row>
    <row r="65" spans="2:29" ht="15.75">
      <c r="B65" s="2"/>
      <c r="C65" s="73"/>
      <c r="D65" s="68" t="s">
        <v>30</v>
      </c>
      <c r="E65" s="68"/>
      <c r="F65" s="69"/>
      <c r="G65" s="69">
        <f>Variables!E94*'3.Process Cost-Benefit'!F64*E63</f>
        <v>42000.000000000007</v>
      </c>
      <c r="H65" s="69"/>
      <c r="I65" s="70"/>
      <c r="J65" s="57"/>
      <c r="K65" s="57"/>
      <c r="L65" s="2"/>
      <c r="M65" s="2"/>
      <c r="N65" s="2"/>
      <c r="O65" s="2"/>
      <c r="P65" s="2"/>
      <c r="Q65" s="2"/>
      <c r="R65" s="2"/>
      <c r="S65" s="2"/>
      <c r="T65" s="2"/>
      <c r="U65" s="2"/>
      <c r="V65" s="2"/>
      <c r="W65" s="2"/>
      <c r="X65" s="2"/>
      <c r="Y65" s="2"/>
      <c r="Z65" s="2"/>
      <c r="AA65" s="2"/>
      <c r="AB65" s="2"/>
      <c r="AC65" s="2"/>
    </row>
    <row r="66" spans="2:29" ht="15.75">
      <c r="B66" s="2"/>
      <c r="C66" s="75"/>
      <c r="D66" s="68" t="s">
        <v>21</v>
      </c>
      <c r="E66" s="68"/>
      <c r="F66" s="69"/>
      <c r="G66" s="69"/>
      <c r="H66" s="69">
        <f>$E$63*'3.Machine Processing '!E78*Variables!E98</f>
        <v>9702440.8484907951</v>
      </c>
      <c r="I66" s="70"/>
      <c r="J66" s="57"/>
      <c r="K66" s="57"/>
      <c r="L66" s="2"/>
      <c r="M66" s="2"/>
      <c r="N66" s="2"/>
      <c r="O66" s="2"/>
      <c r="P66" s="2"/>
      <c r="Q66" s="2"/>
      <c r="R66" s="2"/>
      <c r="S66" s="2"/>
      <c r="T66" s="2"/>
      <c r="U66" s="2"/>
      <c r="V66" s="2"/>
      <c r="W66" s="2"/>
      <c r="X66" s="2"/>
      <c r="Y66" s="2"/>
      <c r="Z66" s="2"/>
      <c r="AA66" s="2"/>
      <c r="AB66" s="2"/>
      <c r="AC66" s="2"/>
    </row>
    <row r="67" spans="2:29" ht="15.75">
      <c r="B67" s="2"/>
      <c r="C67" s="75"/>
      <c r="D67" s="68" t="s">
        <v>22</v>
      </c>
      <c r="E67" s="68"/>
      <c r="F67" s="69"/>
      <c r="G67" s="69"/>
      <c r="H67" s="69">
        <f>$E$57*'3.Machine Processing '!E79*Variables!E93*Variables!E98</f>
        <v>0</v>
      </c>
      <c r="I67" s="70"/>
      <c r="J67" s="57"/>
      <c r="K67" s="57"/>
      <c r="L67" s="2"/>
      <c r="M67" s="2"/>
      <c r="N67" s="2"/>
      <c r="O67" s="2"/>
      <c r="P67" s="2"/>
      <c r="Q67" s="2"/>
      <c r="R67" s="2"/>
      <c r="S67" s="2"/>
      <c r="T67" s="2"/>
      <c r="U67" s="2"/>
      <c r="V67" s="2"/>
      <c r="W67" s="2"/>
      <c r="X67" s="2"/>
      <c r="Y67" s="2"/>
      <c r="Z67" s="2"/>
      <c r="AA67" s="2"/>
      <c r="AB67" s="2"/>
      <c r="AC67" s="2"/>
    </row>
    <row r="68" spans="2:29" ht="15.75">
      <c r="B68" s="2"/>
      <c r="C68" s="73"/>
      <c r="D68" s="103" t="s">
        <v>142</v>
      </c>
      <c r="E68" s="68"/>
      <c r="F68" s="69"/>
      <c r="G68" s="69"/>
      <c r="H68" s="100"/>
      <c r="I68" s="277">
        <f>E63*'3.Machine Processing '!I7/1000*Variables!E111</f>
        <v>39686347.04999999</v>
      </c>
      <c r="J68" s="57"/>
      <c r="K68" s="128"/>
      <c r="L68" s="2"/>
      <c r="M68" s="2"/>
      <c r="N68" s="2"/>
      <c r="O68" s="2"/>
      <c r="P68" s="2"/>
      <c r="Q68" s="2"/>
      <c r="R68" s="2"/>
      <c r="S68" s="2"/>
      <c r="T68" s="2"/>
      <c r="U68" s="2"/>
      <c r="V68" s="2"/>
      <c r="W68" s="2"/>
      <c r="X68" s="2"/>
      <c r="Y68" s="2"/>
      <c r="Z68" s="2"/>
      <c r="AA68" s="2"/>
      <c r="AB68" s="2"/>
      <c r="AC68" s="2"/>
    </row>
    <row r="69" spans="2:29" ht="15.75">
      <c r="B69" s="2"/>
      <c r="C69" s="17" t="s">
        <v>17</v>
      </c>
      <c r="D69" s="77"/>
      <c r="E69" s="78"/>
      <c r="F69" s="69"/>
      <c r="G69" s="69"/>
      <c r="H69" s="69"/>
      <c r="I69" s="70"/>
      <c r="J69" s="57"/>
      <c r="K69" s="57"/>
      <c r="L69" s="2"/>
      <c r="M69" s="2"/>
      <c r="N69" s="2"/>
      <c r="O69" s="2"/>
      <c r="P69" s="2"/>
      <c r="Q69" s="2"/>
      <c r="R69" s="2"/>
      <c r="S69" s="2"/>
      <c r="T69" s="2"/>
      <c r="U69" s="2"/>
      <c r="V69" s="2"/>
      <c r="W69" s="2"/>
      <c r="X69" s="2"/>
      <c r="Y69" s="2"/>
      <c r="Z69" s="2"/>
      <c r="AA69" s="2"/>
      <c r="AB69" s="2"/>
      <c r="AC69" s="2"/>
    </row>
    <row r="70" spans="2:29" ht="15.75">
      <c r="B70" s="2"/>
      <c r="C70" s="76"/>
      <c r="D70" s="77" t="s">
        <v>181</v>
      </c>
      <c r="E70" s="78"/>
      <c r="F70" s="69"/>
      <c r="G70" s="69">
        <f>'3.Machine Processing '!E83*Variables!E100</f>
        <v>437600</v>
      </c>
      <c r="H70" s="69"/>
      <c r="I70" s="70"/>
      <c r="J70" s="57"/>
      <c r="K70" s="57"/>
      <c r="L70" s="2"/>
      <c r="M70" s="2"/>
      <c r="N70" s="2"/>
      <c r="O70" s="2"/>
      <c r="P70" s="2"/>
      <c r="Q70" s="2"/>
      <c r="R70" s="2"/>
      <c r="S70" s="2"/>
      <c r="T70" s="2"/>
      <c r="U70" s="2"/>
      <c r="V70" s="2"/>
      <c r="W70" s="2"/>
      <c r="X70" s="2"/>
      <c r="Y70" s="2"/>
      <c r="Z70" s="2"/>
      <c r="AA70" s="2"/>
      <c r="AB70" s="2"/>
      <c r="AC70" s="2"/>
    </row>
    <row r="71" spans="2:29" ht="33" customHeight="1">
      <c r="B71" s="2"/>
      <c r="C71" s="108"/>
      <c r="D71" s="278" t="s">
        <v>188</v>
      </c>
      <c r="E71" s="78"/>
      <c r="F71" s="277">
        <f>150%*SUM(F64+F58+F50+F43+F36+F29+F23+F16+F9)</f>
        <v>6645000</v>
      </c>
      <c r="G71" s="176"/>
      <c r="H71" s="177"/>
      <c r="I71" s="177"/>
      <c r="J71" s="159"/>
      <c r="K71" s="435" t="s">
        <v>301</v>
      </c>
      <c r="L71" s="420" t="s">
        <v>101</v>
      </c>
      <c r="M71" s="2"/>
      <c r="N71" s="2"/>
      <c r="O71" s="2"/>
      <c r="P71" s="2"/>
      <c r="Q71" s="2"/>
      <c r="R71" s="2"/>
      <c r="S71" s="2"/>
      <c r="T71" s="2"/>
      <c r="U71" s="2"/>
      <c r="V71" s="2"/>
      <c r="W71" s="2"/>
      <c r="X71" s="2"/>
      <c r="Y71" s="2"/>
      <c r="Z71" s="2"/>
      <c r="AA71" s="2"/>
      <c r="AB71" s="2"/>
      <c r="AC71" s="2"/>
    </row>
    <row r="72" spans="2:29" ht="14.1" customHeight="1">
      <c r="B72" s="2"/>
      <c r="C72" s="76"/>
      <c r="D72" s="77" t="s">
        <v>113</v>
      </c>
      <c r="E72" s="78"/>
      <c r="F72" s="277">
        <v>100000</v>
      </c>
      <c r="G72" s="69"/>
      <c r="H72" s="69"/>
      <c r="I72" s="70"/>
      <c r="J72" s="57"/>
      <c r="K72" s="128" t="s">
        <v>114</v>
      </c>
      <c r="L72" s="2"/>
      <c r="M72" s="2"/>
      <c r="N72" s="2"/>
      <c r="O72" s="2"/>
      <c r="P72" s="2"/>
      <c r="Q72" s="2"/>
      <c r="R72" s="2"/>
      <c r="S72" s="2"/>
      <c r="T72" s="2"/>
      <c r="U72" s="2"/>
      <c r="V72" s="2"/>
      <c r="W72" s="2"/>
      <c r="X72" s="2"/>
      <c r="Y72" s="2"/>
      <c r="Z72" s="2"/>
      <c r="AA72" s="2"/>
      <c r="AB72" s="2"/>
      <c r="AC72" s="2"/>
    </row>
    <row r="73" spans="2:29" ht="17.100000000000001" customHeight="1">
      <c r="B73" s="2"/>
      <c r="C73" s="76"/>
      <c r="D73" s="109" t="s">
        <v>112</v>
      </c>
      <c r="E73" s="78"/>
      <c r="F73" s="69"/>
      <c r="G73" s="69"/>
      <c r="H73" s="277">
        <f>'Grass Processing'!E23*Variables!E10</f>
        <v>565077.80000000005</v>
      </c>
      <c r="I73" s="70"/>
      <c r="J73" s="57"/>
      <c r="K73" s="275"/>
      <c r="L73" s="2"/>
      <c r="M73" s="2"/>
      <c r="N73" s="2"/>
      <c r="O73" s="2"/>
      <c r="P73" s="2"/>
      <c r="Q73" s="2"/>
      <c r="R73" s="2"/>
      <c r="S73" s="2"/>
      <c r="T73" s="2"/>
      <c r="U73" s="2"/>
      <c r="V73" s="2"/>
      <c r="W73" s="2"/>
      <c r="X73" s="2"/>
      <c r="Y73" s="2"/>
      <c r="Z73" s="2"/>
      <c r="AA73" s="2"/>
      <c r="AB73" s="2"/>
      <c r="AC73" s="2"/>
    </row>
    <row r="74" spans="2:29" ht="15.75">
      <c r="B74" s="2"/>
      <c r="C74" s="13"/>
      <c r="D74" s="449" t="s">
        <v>348</v>
      </c>
      <c r="E74" s="78"/>
      <c r="F74" s="69"/>
      <c r="G74" s="69"/>
      <c r="H74" s="69">
        <f>'3.Machine Processing '!I3*2/1000*Variables!E13+Variables!E12*2/1000*'3.Machine Processing '!I7</f>
        <v>757841.09227402846</v>
      </c>
      <c r="I74" s="70"/>
      <c r="J74" s="57"/>
      <c r="K74" s="275"/>
      <c r="L74" s="2"/>
      <c r="M74" s="2"/>
      <c r="N74" s="2"/>
      <c r="O74" s="2"/>
      <c r="P74" s="2"/>
      <c r="Q74" s="2"/>
      <c r="R74" s="2"/>
      <c r="S74" s="2"/>
      <c r="T74" s="2"/>
      <c r="U74" s="2"/>
      <c r="V74" s="2"/>
      <c r="W74" s="2"/>
      <c r="X74" s="2"/>
      <c r="Y74" s="2"/>
      <c r="Z74" s="2"/>
      <c r="AA74" s="2"/>
      <c r="AB74" s="2"/>
      <c r="AC74" s="2"/>
    </row>
    <row r="75" spans="2:29" ht="16.5" thickBot="1">
      <c r="B75" s="2"/>
      <c r="C75" s="451"/>
      <c r="D75" s="452"/>
      <c r="E75" s="453"/>
      <c r="F75" s="454"/>
      <c r="G75" s="454"/>
      <c r="H75" s="454"/>
      <c r="I75" s="455"/>
      <c r="J75" s="57"/>
      <c r="K75" s="275"/>
      <c r="L75" s="2"/>
      <c r="M75" s="2"/>
      <c r="N75" s="2"/>
      <c r="O75" s="2"/>
      <c r="P75" s="2"/>
      <c r="Q75" s="2"/>
      <c r="R75" s="2"/>
      <c r="S75" s="2"/>
      <c r="T75" s="2"/>
      <c r="U75" s="2"/>
      <c r="V75" s="2"/>
      <c r="W75" s="2"/>
      <c r="X75" s="2"/>
      <c r="Y75" s="2"/>
      <c r="Z75" s="2"/>
      <c r="AA75" s="2"/>
      <c r="AB75" s="2"/>
      <c r="AC75" s="2"/>
    </row>
    <row r="76" spans="2:29" ht="16.5" thickTop="1">
      <c r="B76" s="2"/>
      <c r="C76" s="62" t="s">
        <v>31</v>
      </c>
      <c r="D76" s="97"/>
      <c r="E76" s="97"/>
      <c r="F76" s="98">
        <f>SUM(F8:F74)</f>
        <v>11175000</v>
      </c>
      <c r="G76" s="98">
        <f>SUM(G8:G74)</f>
        <v>1057800</v>
      </c>
      <c r="H76" s="98">
        <f>SUM(H8:H74)</f>
        <v>41864856.577972181</v>
      </c>
      <c r="I76" s="98">
        <f>SUM(I8:I74)</f>
        <v>44934156.865950912</v>
      </c>
      <c r="J76" s="57"/>
      <c r="K76" s="57"/>
      <c r="L76" s="2"/>
      <c r="M76" s="2"/>
      <c r="N76" s="2"/>
      <c r="O76" s="2"/>
      <c r="P76" s="2"/>
      <c r="Q76" s="2"/>
      <c r="R76" s="2"/>
      <c r="S76" s="2"/>
      <c r="T76" s="2"/>
      <c r="U76" s="2"/>
      <c r="V76" s="2"/>
      <c r="W76" s="2"/>
      <c r="X76" s="2"/>
      <c r="Y76" s="2"/>
      <c r="Z76" s="2"/>
      <c r="AA76" s="2"/>
      <c r="AB76" s="2"/>
      <c r="AC76" s="2"/>
    </row>
    <row r="77" spans="2:29" ht="15.75">
      <c r="B77" s="2"/>
      <c r="C77" s="57"/>
      <c r="D77" s="57"/>
      <c r="E77" s="57"/>
      <c r="F77" s="57"/>
      <c r="G77" s="57"/>
      <c r="H77" s="57"/>
      <c r="I77" s="57"/>
      <c r="J77" s="57"/>
      <c r="K77" s="57"/>
      <c r="L77" s="2"/>
      <c r="M77" s="2"/>
      <c r="N77" s="2"/>
      <c r="O77" s="2"/>
      <c r="P77" s="2"/>
      <c r="Q77" s="2"/>
      <c r="R77" s="2"/>
      <c r="S77" s="2"/>
      <c r="T77" s="2"/>
      <c r="U77" s="2"/>
      <c r="V77" s="2"/>
      <c r="W77" s="2"/>
      <c r="X77" s="2"/>
      <c r="Y77" s="2"/>
      <c r="Z77" s="2"/>
      <c r="AA77" s="2"/>
      <c r="AB77" s="2"/>
      <c r="AC77" s="2"/>
    </row>
    <row r="78" spans="2:29" ht="15.75">
      <c r="B78" s="2"/>
      <c r="G78" s="234"/>
      <c r="H78" s="46"/>
      <c r="J78" s="57"/>
      <c r="K78" s="57"/>
      <c r="L78" s="2"/>
      <c r="M78" s="2"/>
      <c r="N78" s="2"/>
      <c r="O78" s="2"/>
      <c r="P78" s="2"/>
      <c r="Q78" s="2"/>
      <c r="R78" s="2"/>
      <c r="S78" s="2"/>
      <c r="T78" s="2"/>
      <c r="U78" s="2"/>
      <c r="V78" s="2"/>
      <c r="W78" s="2"/>
      <c r="X78" s="2"/>
      <c r="Y78" s="2"/>
      <c r="Z78" s="2"/>
      <c r="AA78" s="2"/>
      <c r="AB78" s="2"/>
      <c r="AC78" s="2"/>
    </row>
    <row r="79" spans="2:29" ht="15.75">
      <c r="B79" s="2"/>
      <c r="J79" s="57"/>
      <c r="K79" s="57"/>
      <c r="L79" s="2"/>
      <c r="M79" s="2"/>
      <c r="N79" s="2"/>
      <c r="O79" s="2"/>
      <c r="P79" s="2"/>
      <c r="Q79" s="2"/>
      <c r="R79" s="2"/>
      <c r="S79" s="2"/>
      <c r="T79" s="2"/>
      <c r="U79" s="2"/>
      <c r="V79" s="2"/>
      <c r="W79" s="2"/>
      <c r="X79" s="2"/>
      <c r="Y79" s="2"/>
      <c r="Z79" s="2"/>
      <c r="AA79" s="2"/>
      <c r="AB79" s="2"/>
      <c r="AC79" s="2"/>
    </row>
    <row r="80" spans="2:29" ht="15.75">
      <c r="B80" s="2"/>
      <c r="C80" s="57"/>
      <c r="D80" s="57"/>
      <c r="E80" s="2"/>
      <c r="F80" s="2"/>
      <c r="G80" s="2"/>
      <c r="H80" s="57"/>
      <c r="I80" s="2"/>
      <c r="J80" s="2"/>
      <c r="K80" s="2"/>
      <c r="L80" s="2"/>
      <c r="M80" s="2"/>
      <c r="N80" s="2"/>
      <c r="O80" s="2"/>
      <c r="P80" s="2"/>
      <c r="Q80" s="2"/>
      <c r="R80" s="2"/>
      <c r="S80" s="2"/>
      <c r="T80" s="2"/>
      <c r="U80" s="2"/>
      <c r="V80" s="2"/>
      <c r="W80" s="2"/>
      <c r="X80" s="2"/>
      <c r="Y80" s="2"/>
      <c r="Z80" s="2"/>
      <c r="AA80" s="2"/>
      <c r="AB80" s="2"/>
      <c r="AC80" s="2"/>
    </row>
    <row r="81" spans="2:29" ht="15.75">
      <c r="B81" s="2"/>
      <c r="C81" s="57"/>
      <c r="D81" s="57"/>
      <c r="E81" s="2"/>
      <c r="F81" s="2"/>
      <c r="G81" s="238"/>
      <c r="H81" s="57"/>
      <c r="I81" s="2"/>
      <c r="J81" s="2"/>
      <c r="K81" s="2"/>
      <c r="L81" s="2"/>
      <c r="M81" s="2"/>
      <c r="N81" s="2"/>
      <c r="O81" s="2"/>
      <c r="P81" s="2"/>
      <c r="Q81" s="2"/>
      <c r="R81" s="2"/>
      <c r="S81" s="2"/>
      <c r="T81" s="2"/>
      <c r="U81" s="2"/>
      <c r="V81" s="2"/>
      <c r="W81" s="2"/>
      <c r="X81" s="2"/>
      <c r="Y81" s="2"/>
      <c r="Z81" s="2"/>
      <c r="AA81" s="2"/>
      <c r="AB81" s="2"/>
      <c r="AC81" s="2"/>
    </row>
    <row r="82" spans="2:29" ht="15.75">
      <c r="B82" s="2"/>
      <c r="C82" s="57"/>
      <c r="D82" s="57"/>
      <c r="E82" s="2"/>
      <c r="F82" s="2"/>
      <c r="G82" s="2"/>
      <c r="H82" s="2"/>
      <c r="I82" s="2"/>
      <c r="J82" s="2"/>
      <c r="K82" s="2"/>
      <c r="L82" s="2"/>
      <c r="M82" s="2"/>
      <c r="N82" s="2"/>
      <c r="O82" s="2"/>
      <c r="P82" s="2"/>
      <c r="Q82" s="2"/>
      <c r="R82" s="2"/>
      <c r="S82" s="2"/>
      <c r="T82" s="2"/>
      <c r="U82" s="2"/>
      <c r="V82" s="2"/>
      <c r="W82" s="2"/>
      <c r="X82" s="2"/>
      <c r="Y82" s="2"/>
      <c r="Z82" s="2"/>
      <c r="AA82" s="2"/>
      <c r="AB82" s="2"/>
      <c r="AC82" s="2"/>
    </row>
    <row r="83" spans="2:29" ht="15.75">
      <c r="B83" s="2"/>
      <c r="C83" s="57"/>
      <c r="D83" s="57"/>
      <c r="E83" s="2"/>
      <c r="F83" s="2"/>
      <c r="G83" s="2"/>
      <c r="H83" s="2"/>
      <c r="I83" s="2"/>
      <c r="J83" s="2"/>
      <c r="K83" s="2"/>
      <c r="L83" s="2"/>
      <c r="M83" s="2"/>
      <c r="N83" s="2"/>
      <c r="O83" s="2"/>
      <c r="P83" s="2"/>
      <c r="Q83" s="2"/>
      <c r="R83" s="2"/>
      <c r="S83" s="2"/>
      <c r="T83" s="2"/>
      <c r="U83" s="2"/>
      <c r="V83" s="2"/>
      <c r="W83" s="2"/>
      <c r="X83" s="2"/>
      <c r="Y83" s="2"/>
      <c r="Z83" s="2"/>
      <c r="AA83" s="2"/>
      <c r="AB83" s="2"/>
      <c r="AC83" s="2"/>
    </row>
    <row r="84" spans="2:29" ht="15.75">
      <c r="B84" s="2"/>
      <c r="C84" s="57"/>
      <c r="D84" s="57"/>
      <c r="E84" s="2"/>
      <c r="F84" s="2"/>
      <c r="G84" s="2"/>
      <c r="H84" s="2"/>
      <c r="I84" s="2"/>
      <c r="J84" s="2"/>
      <c r="K84" s="2"/>
      <c r="L84" s="2"/>
      <c r="M84" s="2"/>
      <c r="N84" s="2"/>
      <c r="O84" s="2"/>
      <c r="P84" s="2"/>
      <c r="Q84" s="2"/>
      <c r="R84" s="2"/>
      <c r="S84" s="2"/>
      <c r="T84" s="2"/>
      <c r="U84" s="2"/>
      <c r="V84" s="2"/>
      <c r="W84" s="2"/>
      <c r="X84" s="2"/>
      <c r="Y84" s="2"/>
      <c r="Z84" s="2"/>
      <c r="AA84" s="2"/>
      <c r="AB84" s="2"/>
      <c r="AC84" s="2"/>
    </row>
    <row r="85" spans="2:29" ht="15.75">
      <c r="B85" s="2"/>
      <c r="C85" s="57"/>
      <c r="D85" s="57"/>
      <c r="E85" s="2"/>
      <c r="F85" s="2"/>
      <c r="G85" s="2"/>
      <c r="H85" s="2"/>
      <c r="I85" s="2"/>
      <c r="J85" s="2"/>
      <c r="K85" s="2"/>
      <c r="L85" s="2"/>
      <c r="M85" s="2"/>
      <c r="N85" s="2"/>
      <c r="O85" s="2"/>
      <c r="P85" s="2"/>
      <c r="Q85" s="2"/>
      <c r="R85" s="2"/>
      <c r="S85" s="2"/>
      <c r="T85" s="2"/>
      <c r="U85" s="2"/>
      <c r="V85" s="2"/>
      <c r="W85" s="2"/>
      <c r="X85" s="2"/>
      <c r="Y85" s="2"/>
      <c r="Z85" s="2"/>
      <c r="AA85" s="2"/>
      <c r="AB85" s="2"/>
      <c r="AC85" s="2"/>
    </row>
    <row r="86" spans="2:29" ht="15.75">
      <c r="B86" s="2"/>
      <c r="C86" s="57"/>
      <c r="D86" s="57"/>
      <c r="E86" s="2"/>
      <c r="F86" s="2"/>
      <c r="G86" s="238"/>
      <c r="H86" s="2"/>
      <c r="I86" s="2"/>
      <c r="J86" s="2"/>
      <c r="K86" s="2"/>
      <c r="L86" s="2"/>
      <c r="M86" s="2"/>
      <c r="N86" s="2"/>
      <c r="O86" s="2"/>
      <c r="P86" s="2"/>
      <c r="Q86" s="2"/>
      <c r="R86" s="2"/>
      <c r="S86" s="2"/>
      <c r="T86" s="2"/>
      <c r="U86" s="2"/>
      <c r="V86" s="2"/>
      <c r="W86" s="2"/>
      <c r="X86" s="2"/>
      <c r="Y86" s="2"/>
      <c r="Z86" s="2"/>
      <c r="AA86" s="2"/>
      <c r="AB86" s="2"/>
      <c r="AC86" s="2"/>
    </row>
    <row r="87" spans="2:29" ht="15.75">
      <c r="B87" s="2"/>
      <c r="C87" s="57"/>
      <c r="D87" s="57"/>
      <c r="E87" s="2"/>
      <c r="F87" s="2"/>
      <c r="G87" s="238"/>
      <c r="H87" s="2"/>
      <c r="I87" s="2"/>
      <c r="J87" s="2"/>
      <c r="K87" s="2"/>
      <c r="L87" s="2"/>
      <c r="M87" s="2"/>
      <c r="N87" s="2"/>
      <c r="O87" s="2"/>
      <c r="P87" s="2"/>
      <c r="Q87" s="2"/>
      <c r="R87" s="2"/>
      <c r="S87" s="2"/>
      <c r="T87" s="2"/>
      <c r="U87" s="2"/>
      <c r="V87" s="2"/>
      <c r="W87" s="2"/>
      <c r="X87" s="2"/>
      <c r="Y87" s="2"/>
      <c r="Z87" s="2"/>
      <c r="AA87" s="2"/>
      <c r="AB87" s="2"/>
      <c r="AC87" s="2"/>
    </row>
    <row r="88" spans="2:29" ht="15.75">
      <c r="B88" s="2"/>
      <c r="C88" s="57"/>
      <c r="D88" s="57"/>
      <c r="E88" s="2"/>
      <c r="F88" s="2"/>
      <c r="G88" s="238"/>
      <c r="H88" s="2"/>
      <c r="I88" s="2"/>
      <c r="J88" s="2"/>
      <c r="K88" s="2"/>
      <c r="L88" s="2"/>
      <c r="M88" s="2"/>
      <c r="N88" s="2"/>
      <c r="O88" s="2"/>
      <c r="P88" s="2"/>
      <c r="Q88" s="2"/>
      <c r="R88" s="2"/>
      <c r="S88" s="2"/>
      <c r="T88" s="2"/>
      <c r="U88" s="2"/>
      <c r="V88" s="2"/>
      <c r="W88" s="2"/>
      <c r="X88" s="2"/>
      <c r="Y88" s="2"/>
      <c r="Z88" s="2"/>
      <c r="AA88" s="2"/>
      <c r="AB88" s="2"/>
      <c r="AC88" s="2"/>
    </row>
    <row r="89" spans="2:29" ht="15.75">
      <c r="B89" s="2"/>
      <c r="C89" s="57"/>
      <c r="D89" s="57"/>
      <c r="E89" s="2"/>
      <c r="F89" s="2"/>
      <c r="G89" s="2"/>
      <c r="H89" s="2"/>
      <c r="I89" s="2"/>
      <c r="J89" s="2"/>
      <c r="K89" s="2"/>
      <c r="L89" s="2"/>
      <c r="M89" s="2"/>
      <c r="N89" s="2"/>
      <c r="O89" s="2"/>
      <c r="P89" s="2"/>
      <c r="Q89" s="2"/>
      <c r="R89" s="2"/>
      <c r="S89" s="2"/>
      <c r="T89" s="2"/>
      <c r="U89" s="2"/>
      <c r="V89" s="2"/>
      <c r="W89" s="2"/>
      <c r="X89" s="2"/>
      <c r="Y89" s="2"/>
      <c r="Z89" s="2"/>
      <c r="AA89" s="2"/>
      <c r="AB89" s="2"/>
      <c r="AC89" s="2"/>
    </row>
    <row r="90" spans="2:29" ht="15.75">
      <c r="B90" s="2"/>
      <c r="C90" s="57"/>
      <c r="D90" s="57"/>
      <c r="E90" s="2"/>
      <c r="F90" s="2"/>
      <c r="G90" s="2"/>
      <c r="H90" s="2"/>
      <c r="I90" s="2"/>
      <c r="J90" s="2"/>
      <c r="K90" s="2"/>
      <c r="L90" s="2"/>
      <c r="M90" s="2"/>
      <c r="N90" s="2"/>
      <c r="O90" s="2"/>
      <c r="P90" s="2"/>
      <c r="Q90" s="2"/>
      <c r="R90" s="2"/>
      <c r="S90" s="2"/>
      <c r="T90" s="2"/>
      <c r="U90" s="2"/>
      <c r="V90" s="2"/>
      <c r="W90" s="2"/>
      <c r="X90" s="2"/>
      <c r="Y90" s="2"/>
      <c r="Z90" s="2"/>
      <c r="AA90" s="2"/>
      <c r="AB90" s="2"/>
      <c r="AC90" s="2"/>
    </row>
    <row r="91" spans="2:29" ht="15.75">
      <c r="B91" s="2"/>
      <c r="C91" s="57"/>
      <c r="D91" s="57"/>
      <c r="E91" s="2"/>
      <c r="F91" s="2"/>
      <c r="G91" s="2"/>
      <c r="H91" s="2"/>
      <c r="I91" s="2"/>
      <c r="J91" s="2"/>
      <c r="K91" s="2"/>
      <c r="L91" s="2"/>
      <c r="M91" s="2"/>
      <c r="N91" s="2"/>
      <c r="O91" s="2"/>
      <c r="P91" s="2"/>
      <c r="Q91" s="2"/>
      <c r="R91" s="2"/>
      <c r="S91" s="2"/>
      <c r="T91" s="2"/>
      <c r="U91" s="2"/>
      <c r="V91" s="2"/>
      <c r="W91" s="2"/>
      <c r="X91" s="2"/>
      <c r="Y91" s="2"/>
      <c r="Z91" s="2"/>
      <c r="AA91" s="2"/>
      <c r="AB91" s="2"/>
      <c r="AC91" s="2"/>
    </row>
    <row r="92" spans="2:29" ht="15.75">
      <c r="B92" s="2"/>
      <c r="C92" s="57"/>
      <c r="D92" s="57"/>
      <c r="E92" s="2"/>
      <c r="F92" s="2"/>
      <c r="G92" s="2"/>
      <c r="H92" s="2"/>
      <c r="I92" s="2"/>
      <c r="J92" s="2"/>
      <c r="K92" s="2"/>
      <c r="L92" s="2"/>
      <c r="M92" s="2"/>
      <c r="N92" s="2"/>
      <c r="O92" s="2"/>
      <c r="P92" s="2"/>
      <c r="Q92" s="2"/>
      <c r="R92" s="2"/>
      <c r="S92" s="2"/>
      <c r="T92" s="2"/>
      <c r="U92" s="2"/>
      <c r="V92" s="2"/>
      <c r="W92" s="2"/>
      <c r="X92" s="2"/>
      <c r="Y92" s="2"/>
      <c r="Z92" s="2"/>
      <c r="AA92" s="2"/>
      <c r="AB92" s="2"/>
      <c r="AC92" s="2"/>
    </row>
    <row r="93" spans="2:29" ht="15.75">
      <c r="B93" s="2"/>
      <c r="C93" s="57"/>
      <c r="D93" s="57"/>
      <c r="E93" s="2"/>
      <c r="F93" s="2"/>
      <c r="G93" s="2"/>
      <c r="H93" s="2"/>
      <c r="I93" s="2"/>
      <c r="J93" s="2"/>
      <c r="K93" s="2"/>
      <c r="L93" s="2"/>
      <c r="M93" s="2"/>
      <c r="N93" s="2"/>
      <c r="O93" s="2"/>
      <c r="P93" s="2"/>
      <c r="Q93" s="2"/>
      <c r="R93" s="2"/>
      <c r="S93" s="2"/>
      <c r="T93" s="2"/>
      <c r="U93" s="2"/>
      <c r="V93" s="2"/>
      <c r="W93" s="2"/>
      <c r="X93" s="2"/>
      <c r="Y93" s="2"/>
      <c r="Z93" s="2"/>
      <c r="AA93" s="2"/>
      <c r="AB93" s="2"/>
      <c r="AC93" s="2"/>
    </row>
    <row r="94" spans="2:29" ht="15.75">
      <c r="B94" s="2"/>
      <c r="C94" s="57"/>
      <c r="D94" s="57"/>
      <c r="E94" s="2"/>
      <c r="F94" s="2"/>
      <c r="G94" s="2"/>
      <c r="H94" s="2"/>
      <c r="I94" s="2"/>
      <c r="J94" s="2"/>
      <c r="K94" s="2"/>
      <c r="L94" s="2"/>
      <c r="M94" s="2"/>
      <c r="N94" s="2"/>
      <c r="O94" s="2"/>
      <c r="P94" s="2"/>
      <c r="Q94" s="2"/>
      <c r="R94" s="2"/>
      <c r="S94" s="2"/>
      <c r="T94" s="2"/>
      <c r="U94" s="2"/>
      <c r="V94" s="2"/>
      <c r="W94" s="2"/>
      <c r="X94" s="2"/>
      <c r="Y94" s="2"/>
      <c r="Z94" s="2"/>
      <c r="AA94" s="2"/>
      <c r="AB94" s="2"/>
      <c r="AC94" s="2"/>
    </row>
    <row r="95" spans="2:29">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sheetData>
  <mergeCells count="1">
    <mergeCell ref="F5:H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sheetPr>
  <dimension ref="C3:S34"/>
  <sheetViews>
    <sheetView workbookViewId="0"/>
  </sheetViews>
  <sheetFormatPr defaultColWidth="11.42578125" defaultRowHeight="15"/>
  <cols>
    <col min="1" max="1" width="3.28515625" customWidth="1"/>
    <col min="2" max="2" width="3.85546875" customWidth="1"/>
    <col min="3" max="3" width="23" customWidth="1"/>
    <col min="4" max="4" width="17.140625" customWidth="1"/>
    <col min="7" max="7" width="26.85546875" customWidth="1"/>
    <col min="8" max="8" width="16.42578125" bestFit="1" customWidth="1"/>
    <col min="11" max="11" width="29.42578125" customWidth="1"/>
    <col min="12" max="12" width="14.42578125" bestFit="1" customWidth="1"/>
  </cols>
  <sheetData>
    <row r="3" spans="3:19" ht="21">
      <c r="C3" s="7" t="s">
        <v>151</v>
      </c>
    </row>
    <row r="4" spans="3:19" ht="15.75">
      <c r="C4" s="648" t="s">
        <v>18</v>
      </c>
    </row>
    <row r="6" spans="3:19" ht="15.75">
      <c r="C6" s="223"/>
      <c r="D6" s="223"/>
      <c r="E6" s="223"/>
      <c r="F6" s="223"/>
      <c r="G6" s="223"/>
      <c r="H6" s="223"/>
      <c r="I6" s="223"/>
      <c r="J6" s="223"/>
      <c r="K6" s="223"/>
      <c r="L6" s="223"/>
      <c r="M6" s="223"/>
      <c r="N6" s="223"/>
      <c r="O6" s="223"/>
      <c r="P6" s="223"/>
      <c r="Q6" s="223"/>
      <c r="R6" s="223"/>
      <c r="S6" s="223"/>
    </row>
    <row r="7" spans="3:19" ht="15.75">
      <c r="C7" s="651" t="s">
        <v>163</v>
      </c>
      <c r="D7" s="652"/>
      <c r="E7" s="243"/>
      <c r="F7" s="260"/>
      <c r="G7" s="649" t="s">
        <v>164</v>
      </c>
      <c r="H7" s="650"/>
      <c r="I7" s="243"/>
      <c r="J7" s="260"/>
      <c r="K7" s="649" t="s">
        <v>162</v>
      </c>
      <c r="L7" s="650"/>
      <c r="M7" s="224"/>
      <c r="N7" s="223"/>
      <c r="O7" s="223"/>
      <c r="P7" s="223"/>
      <c r="Q7" s="223"/>
      <c r="R7" s="223"/>
      <c r="S7" s="223"/>
    </row>
    <row r="8" spans="3:19" ht="15.75">
      <c r="C8" s="239"/>
      <c r="D8" s="240"/>
      <c r="E8" s="241"/>
      <c r="F8" s="223"/>
      <c r="G8" s="239"/>
      <c r="H8" s="240"/>
      <c r="I8" s="241"/>
      <c r="J8" s="223"/>
      <c r="K8" s="239"/>
      <c r="L8" s="240"/>
      <c r="M8" s="241"/>
      <c r="N8" s="223"/>
      <c r="O8" s="223"/>
      <c r="P8" s="223"/>
      <c r="Q8" s="223"/>
      <c r="R8" s="223"/>
      <c r="S8" s="223"/>
    </row>
    <row r="9" spans="3:19" ht="15.75">
      <c r="C9" s="25" t="s">
        <v>354</v>
      </c>
      <c r="D9" s="459">
        <f>'1.Financial Output'!E16</f>
        <v>-502182.06400000001</v>
      </c>
      <c r="E9" s="242"/>
      <c r="F9" s="223"/>
      <c r="G9" s="25" t="s">
        <v>251</v>
      </c>
      <c r="H9" s="459">
        <f>'2.Output '!D31</f>
        <v>-21998215.867036074</v>
      </c>
      <c r="I9" s="242"/>
      <c r="J9" s="223"/>
      <c r="K9" s="25" t="s">
        <v>251</v>
      </c>
      <c r="L9" s="459">
        <f>'3.Output '!D31</f>
        <v>-223499.71202126145</v>
      </c>
      <c r="M9" s="242"/>
      <c r="N9" s="223"/>
      <c r="O9" s="223"/>
      <c r="P9" s="223"/>
      <c r="Q9" s="223"/>
      <c r="R9" s="223"/>
      <c r="S9" s="223"/>
    </row>
    <row r="10" spans="3:19" ht="15.75">
      <c r="C10" s="25" t="s">
        <v>356</v>
      </c>
      <c r="D10" s="459">
        <f>'1.Financial Output'!E22</f>
        <v>-502182.06400000001</v>
      </c>
      <c r="E10" s="242"/>
      <c r="F10" s="223"/>
      <c r="G10" s="25" t="s">
        <v>356</v>
      </c>
      <c r="H10" s="459">
        <f>'2.Financial Output'!E22</f>
        <v>-21998215.867036074</v>
      </c>
      <c r="I10" s="242"/>
      <c r="J10" s="223"/>
      <c r="K10" s="25" t="s">
        <v>356</v>
      </c>
      <c r="L10" s="459">
        <f>'3.Financial Output '!E22</f>
        <v>-223499.71202127263</v>
      </c>
      <c r="M10" s="242"/>
      <c r="N10" s="223"/>
      <c r="O10" s="223"/>
      <c r="P10" s="223"/>
      <c r="Q10" s="223"/>
      <c r="R10" s="223"/>
      <c r="S10" s="223"/>
    </row>
    <row r="11" spans="3:19" ht="15.75">
      <c r="C11" s="25" t="s">
        <v>355</v>
      </c>
      <c r="D11" s="459">
        <f>'1.Output'!E23</f>
        <v>903750</v>
      </c>
      <c r="E11" s="242"/>
      <c r="F11" s="223"/>
      <c r="G11" s="25" t="s">
        <v>258</v>
      </c>
      <c r="H11" s="459">
        <f>'2.Output '!E28</f>
        <v>1575000</v>
      </c>
      <c r="I11" s="242"/>
      <c r="J11" s="223"/>
      <c r="K11" s="25" t="s">
        <v>258</v>
      </c>
      <c r="L11" s="459">
        <f>'3.Output '!E28</f>
        <v>11175000</v>
      </c>
      <c r="M11" s="242"/>
      <c r="N11" s="223"/>
      <c r="O11" s="223"/>
      <c r="P11" s="223"/>
      <c r="Q11" s="223"/>
      <c r="R11" s="223"/>
      <c r="S11" s="223"/>
    </row>
    <row r="12" spans="3:19" ht="15.75">
      <c r="C12" s="365" t="s">
        <v>250</v>
      </c>
      <c r="D12" s="462">
        <f>'1.Financial Output'!D52</f>
        <v>-2633815.8158056261</v>
      </c>
      <c r="E12" s="245"/>
      <c r="F12" s="107"/>
      <c r="G12" s="365" t="s">
        <v>250</v>
      </c>
      <c r="H12" s="352">
        <f>'2.Financial Output'!D52</f>
        <v>-101014368.56144239</v>
      </c>
      <c r="I12" s="245"/>
      <c r="J12" s="107"/>
      <c r="K12" s="365" t="s">
        <v>250</v>
      </c>
      <c r="L12" s="246">
        <f>'3.Financial Output '!D52</f>
        <v>-6046063.6770691061</v>
      </c>
      <c r="M12" s="242"/>
      <c r="N12" s="223"/>
      <c r="O12" s="223"/>
      <c r="P12" s="223"/>
      <c r="Q12" s="223"/>
      <c r="R12" s="223"/>
      <c r="S12" s="223"/>
    </row>
    <row r="13" spans="3:19" ht="15.75">
      <c r="C13" s="365" t="s">
        <v>367</v>
      </c>
      <c r="D13" s="383" t="str">
        <f>IFERROR('1.Financial Output'!D53,"-")</f>
        <v>-</v>
      </c>
      <c r="E13" s="245"/>
      <c r="F13" s="107"/>
      <c r="G13" s="365" t="s">
        <v>367</v>
      </c>
      <c r="H13" s="384" t="str">
        <f>IFERROR('2.Financial Output'!D53,"-")</f>
        <v>-</v>
      </c>
      <c r="I13" s="245"/>
      <c r="J13" s="107"/>
      <c r="K13" s="365" t="s">
        <v>367</v>
      </c>
      <c r="L13" s="460">
        <f>IFERROR('3.Financial Output '!D53,"-")</f>
        <v>-6.7225731581748049E-2</v>
      </c>
      <c r="M13" s="242"/>
      <c r="N13" s="223"/>
      <c r="O13" s="223"/>
      <c r="P13" s="223"/>
      <c r="Q13" s="223"/>
      <c r="R13" s="223"/>
      <c r="S13" s="223"/>
    </row>
    <row r="14" spans="3:19" ht="15.75">
      <c r="C14" s="390" t="s">
        <v>295</v>
      </c>
      <c r="D14" s="458">
        <f>'1.Financial Output'!D54</f>
        <v>-0.55566480110650074</v>
      </c>
      <c r="E14" s="244"/>
      <c r="F14" s="223"/>
      <c r="G14" s="390" t="s">
        <v>295</v>
      </c>
      <c r="H14" s="458">
        <f>'2.Financial Output'!D54</f>
        <v>-13.96712118541973</v>
      </c>
      <c r="I14" s="244"/>
      <c r="J14" s="223"/>
      <c r="K14" s="390" t="s">
        <v>295</v>
      </c>
      <c r="L14" s="461">
        <f>'3.Financial Output '!D54</f>
        <v>-1.9999974230091512E-2</v>
      </c>
      <c r="M14" s="244"/>
      <c r="N14" s="223"/>
      <c r="O14" s="223"/>
      <c r="P14" s="223"/>
      <c r="Q14" s="223"/>
      <c r="R14" s="223"/>
      <c r="S14" s="223"/>
    </row>
    <row r="15" spans="3:19" ht="15.75">
      <c r="C15" s="223"/>
      <c r="D15" s="223"/>
      <c r="E15" s="223"/>
      <c r="F15" s="223"/>
      <c r="G15" s="223"/>
      <c r="H15" s="223"/>
      <c r="I15" s="223"/>
      <c r="J15" s="223"/>
      <c r="K15" s="223"/>
      <c r="L15" s="223"/>
      <c r="M15" s="223"/>
      <c r="N15" s="223"/>
      <c r="O15" s="223"/>
      <c r="P15" s="223"/>
      <c r="Q15" s="223"/>
      <c r="R15" s="223"/>
      <c r="S15" s="223"/>
    </row>
    <row r="16" spans="3:19" ht="15.75">
      <c r="C16" s="223"/>
      <c r="D16" s="223"/>
      <c r="E16" s="223"/>
      <c r="F16" s="223"/>
      <c r="G16" s="223"/>
      <c r="H16" s="223"/>
      <c r="I16" s="223"/>
      <c r="J16" s="223"/>
      <c r="K16" s="223"/>
      <c r="L16" s="223"/>
      <c r="M16" s="223"/>
      <c r="N16" s="223"/>
      <c r="O16" s="223"/>
      <c r="P16" s="223"/>
      <c r="Q16" s="223"/>
      <c r="R16" s="223"/>
      <c r="S16" s="223"/>
    </row>
    <row r="17" spans="3:19" ht="15.75">
      <c r="C17" s="256" t="s">
        <v>153</v>
      </c>
      <c r="D17" s="243"/>
      <c r="E17" s="243"/>
      <c r="F17" s="223"/>
      <c r="G17" s="223"/>
      <c r="H17" s="223"/>
      <c r="I17" s="223"/>
      <c r="J17" s="223"/>
      <c r="K17" s="223"/>
      <c r="L17" s="223"/>
      <c r="M17" s="223"/>
      <c r="N17" s="223"/>
      <c r="O17" s="223"/>
      <c r="P17" s="223"/>
      <c r="Q17" s="223"/>
      <c r="R17" s="223"/>
      <c r="S17" s="223"/>
    </row>
    <row r="18" spans="3:19" ht="20.100000000000001" customHeight="1">
      <c r="C18" s="247"/>
      <c r="D18" s="248"/>
      <c r="E18" s="258" t="s">
        <v>20</v>
      </c>
      <c r="F18" s="259" t="s">
        <v>5</v>
      </c>
      <c r="G18" s="549" t="s">
        <v>342</v>
      </c>
      <c r="H18" s="223"/>
      <c r="I18" s="223"/>
      <c r="J18" s="223"/>
      <c r="K18" s="223"/>
      <c r="L18" s="223"/>
      <c r="M18" s="223"/>
      <c r="N18" s="223"/>
      <c r="O18" s="223"/>
      <c r="P18" s="223"/>
      <c r="Q18" s="223"/>
      <c r="R18" s="223"/>
      <c r="S18" s="223"/>
    </row>
    <row r="19" spans="3:19" ht="20.100000000000001" customHeight="1">
      <c r="C19" s="26" t="s">
        <v>154</v>
      </c>
      <c r="D19" s="249"/>
      <c r="E19" s="5"/>
      <c r="F19" s="226"/>
      <c r="G19" s="545"/>
      <c r="H19" s="223"/>
      <c r="I19" s="223"/>
      <c r="J19" s="223"/>
      <c r="K19" s="223"/>
      <c r="L19" s="223"/>
      <c r="M19" s="223"/>
      <c r="N19" s="223"/>
      <c r="O19" s="223"/>
      <c r="P19" s="223"/>
      <c r="Q19" s="223"/>
      <c r="R19" s="223"/>
      <c r="S19" s="223"/>
    </row>
    <row r="20" spans="3:19" ht="20.100000000000001" customHeight="1">
      <c r="C20" s="250" t="s">
        <v>121</v>
      </c>
      <c r="D20" s="252"/>
      <c r="E20" s="538">
        <v>150</v>
      </c>
      <c r="F20" s="540" t="s">
        <v>160</v>
      </c>
      <c r="G20" s="546">
        <v>150</v>
      </c>
      <c r="H20" s="223"/>
      <c r="I20" s="223"/>
      <c r="J20" s="223"/>
      <c r="K20" s="223"/>
      <c r="L20" s="223"/>
      <c r="M20" s="223"/>
      <c r="N20" s="223"/>
      <c r="O20" s="223"/>
      <c r="P20" s="223"/>
      <c r="Q20" s="223"/>
      <c r="R20" s="223"/>
      <c r="S20" s="223"/>
    </row>
    <row r="21" spans="3:19" ht="20.100000000000001" customHeight="1">
      <c r="C21" s="537" t="s">
        <v>155</v>
      </c>
      <c r="D21" s="253"/>
      <c r="E21" s="541">
        <v>250</v>
      </c>
      <c r="F21" s="542" t="s">
        <v>187</v>
      </c>
      <c r="G21" s="547">
        <v>250</v>
      </c>
      <c r="H21" s="223"/>
      <c r="I21" s="223"/>
      <c r="J21" s="223"/>
      <c r="K21" s="223"/>
      <c r="L21" s="223"/>
      <c r="M21" s="223"/>
      <c r="N21" s="223"/>
      <c r="O21" s="223"/>
      <c r="P21" s="223"/>
      <c r="Q21" s="223"/>
      <c r="R21" s="223"/>
      <c r="S21" s="223"/>
    </row>
    <row r="22" spans="3:19" ht="20.100000000000001" customHeight="1">
      <c r="C22" s="26" t="s">
        <v>156</v>
      </c>
      <c r="D22" s="251"/>
      <c r="E22" s="224"/>
      <c r="F22" s="257"/>
      <c r="G22" s="545"/>
      <c r="H22" s="223"/>
      <c r="I22" s="223"/>
      <c r="J22" s="223"/>
      <c r="K22" s="223"/>
      <c r="L22" s="223"/>
      <c r="M22" s="223"/>
      <c r="N22" s="223"/>
      <c r="O22" s="223"/>
      <c r="P22" s="223"/>
      <c r="Q22" s="223"/>
      <c r="R22" s="223"/>
      <c r="S22" s="223"/>
    </row>
    <row r="23" spans="3:19" ht="20.100000000000001" customHeight="1">
      <c r="C23" s="559" t="s">
        <v>352</v>
      </c>
      <c r="D23" s="254"/>
      <c r="E23" s="538">
        <v>86</v>
      </c>
      <c r="F23" s="539" t="s">
        <v>85</v>
      </c>
      <c r="G23" s="546">
        <v>86</v>
      </c>
      <c r="I23" s="223"/>
      <c r="J23" s="223"/>
      <c r="K23" s="223"/>
      <c r="L23" s="223"/>
      <c r="M23" s="223"/>
      <c r="N23" s="223"/>
      <c r="O23" s="223"/>
      <c r="P23" s="223"/>
      <c r="Q23" s="223"/>
      <c r="R23" s="223"/>
      <c r="S23" s="223"/>
    </row>
    <row r="24" spans="3:19" ht="20.100000000000001" customHeight="1">
      <c r="C24" s="250" t="s">
        <v>158</v>
      </c>
      <c r="D24" s="254"/>
      <c r="E24" s="538">
        <v>156</v>
      </c>
      <c r="F24" s="539" t="s">
        <v>85</v>
      </c>
      <c r="G24" s="546">
        <v>156</v>
      </c>
      <c r="I24" s="223"/>
      <c r="J24" s="223"/>
      <c r="K24" s="223"/>
      <c r="L24" s="223"/>
      <c r="M24" s="223"/>
      <c r="N24" s="223"/>
      <c r="O24" s="223"/>
      <c r="P24" s="223"/>
      <c r="Q24" s="223"/>
      <c r="R24" s="223"/>
      <c r="S24" s="223"/>
    </row>
    <row r="25" spans="3:19" ht="20.100000000000001" customHeight="1">
      <c r="C25" s="250" t="s">
        <v>159</v>
      </c>
      <c r="D25" s="254"/>
      <c r="E25" s="538">
        <v>4500</v>
      </c>
      <c r="F25" s="539" t="s">
        <v>85</v>
      </c>
      <c r="G25" s="546">
        <v>4500</v>
      </c>
      <c r="I25" s="223"/>
      <c r="J25" s="223"/>
      <c r="K25" s="223"/>
      <c r="L25" s="223"/>
      <c r="M25" s="223"/>
      <c r="N25" s="223"/>
      <c r="O25" s="223"/>
      <c r="P25" s="223"/>
      <c r="Q25" s="223"/>
      <c r="R25" s="223"/>
      <c r="S25" s="223"/>
    </row>
    <row r="26" spans="3:19" ht="20.100000000000001" customHeight="1">
      <c r="C26" s="26" t="s">
        <v>357</v>
      </c>
      <c r="D26" s="243"/>
      <c r="E26" s="224"/>
      <c r="F26" s="226"/>
      <c r="G26" s="545"/>
      <c r="H26" s="223"/>
      <c r="I26" s="223"/>
      <c r="J26" s="223"/>
      <c r="K26" s="563"/>
      <c r="L26" s="223"/>
      <c r="M26" s="223"/>
      <c r="N26" s="223"/>
      <c r="O26" s="223"/>
      <c r="P26" s="223"/>
      <c r="Q26" s="223"/>
      <c r="R26" s="223"/>
      <c r="S26" s="223"/>
    </row>
    <row r="27" spans="3:19" ht="20.100000000000001" customHeight="1">
      <c r="C27" s="250" t="s">
        <v>116</v>
      </c>
      <c r="D27" s="254"/>
      <c r="E27" s="543">
        <v>2</v>
      </c>
      <c r="F27" s="544" t="s">
        <v>47</v>
      </c>
      <c r="G27" s="548">
        <v>2</v>
      </c>
      <c r="H27" s="223"/>
      <c r="I27" s="223"/>
      <c r="J27" s="223"/>
      <c r="K27" s="223"/>
      <c r="L27" s="223"/>
      <c r="M27" s="223"/>
      <c r="N27" s="223"/>
      <c r="O27" s="223"/>
      <c r="P27" s="223"/>
      <c r="Q27" s="223"/>
      <c r="R27" s="223"/>
      <c r="S27" s="223"/>
    </row>
    <row r="28" spans="3:19" ht="20.100000000000001" customHeight="1">
      <c r="C28" s="250" t="s">
        <v>115</v>
      </c>
      <c r="D28" s="254"/>
      <c r="E28" s="543">
        <v>8</v>
      </c>
      <c r="F28" s="544" t="s">
        <v>47</v>
      </c>
      <c r="G28" s="548">
        <v>8</v>
      </c>
      <c r="H28" s="223"/>
      <c r="I28" s="223"/>
      <c r="J28" s="223"/>
      <c r="K28" s="223"/>
      <c r="L28" s="223"/>
      <c r="M28" s="223"/>
      <c r="N28" s="223"/>
      <c r="O28" s="223"/>
      <c r="P28" s="223"/>
      <c r="Q28" s="223"/>
      <c r="R28" s="223"/>
      <c r="S28" s="223"/>
    </row>
    <row r="29" spans="3:19" ht="15.75">
      <c r="C29" s="364" t="s">
        <v>260</v>
      </c>
      <c r="D29" s="243"/>
      <c r="E29" s="224"/>
      <c r="F29" s="242"/>
      <c r="G29" s="545"/>
      <c r="H29" s="223"/>
      <c r="I29" s="223"/>
      <c r="J29" s="223"/>
      <c r="K29" s="223"/>
      <c r="L29" s="223"/>
      <c r="M29" s="223"/>
      <c r="N29" s="223"/>
      <c r="O29" s="223"/>
      <c r="P29" s="223"/>
      <c r="Q29" s="223"/>
      <c r="R29" s="223"/>
      <c r="S29" s="223"/>
    </row>
    <row r="30" spans="3:19" ht="18" customHeight="1">
      <c r="C30" s="560" t="s">
        <v>353</v>
      </c>
      <c r="D30" s="254"/>
      <c r="E30" s="541">
        <v>50</v>
      </c>
      <c r="F30" s="542" t="s">
        <v>85</v>
      </c>
      <c r="G30" s="547">
        <v>50</v>
      </c>
      <c r="I30" s="223"/>
      <c r="J30" s="223"/>
      <c r="K30" s="223"/>
      <c r="L30" s="223"/>
      <c r="M30" s="223"/>
      <c r="N30" s="223"/>
      <c r="O30" s="223"/>
      <c r="P30" s="223"/>
      <c r="Q30" s="223"/>
      <c r="R30" s="223"/>
      <c r="S30" s="223"/>
    </row>
    <row r="31" spans="3:19" ht="20.100000000000001" customHeight="1">
      <c r="C31" s="391" t="s">
        <v>261</v>
      </c>
      <c r="D31" s="255"/>
      <c r="E31" s="556">
        <v>50</v>
      </c>
      <c r="F31" s="557" t="s">
        <v>85</v>
      </c>
      <c r="G31" s="558">
        <v>50</v>
      </c>
      <c r="I31" s="223"/>
      <c r="J31" s="223"/>
      <c r="K31" s="223"/>
      <c r="L31" s="223"/>
      <c r="M31" s="223"/>
      <c r="N31" s="223"/>
      <c r="O31" s="223"/>
      <c r="P31" s="223"/>
      <c r="Q31" s="223"/>
      <c r="R31" s="223"/>
      <c r="S31" s="223"/>
    </row>
    <row r="32" spans="3:19" ht="15.75">
      <c r="C32" s="223"/>
      <c r="D32" s="223"/>
      <c r="E32" s="223"/>
      <c r="F32" s="223"/>
      <c r="G32" s="223"/>
      <c r="H32" s="223"/>
      <c r="I32" s="223"/>
      <c r="J32" s="223"/>
      <c r="K32" s="223"/>
      <c r="L32" s="223"/>
      <c r="M32" s="223"/>
      <c r="N32" s="223"/>
      <c r="O32" s="223"/>
      <c r="P32" s="223"/>
      <c r="Q32" s="223"/>
      <c r="R32" s="223"/>
      <c r="S32" s="223"/>
    </row>
    <row r="34" spans="3:3" ht="15.75">
      <c r="C34" s="628" t="s">
        <v>368</v>
      </c>
    </row>
  </sheetData>
  <mergeCells count="3">
    <mergeCell ref="G7:H7"/>
    <mergeCell ref="K7:L7"/>
    <mergeCell ref="C7:D7"/>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7426" r:id="rId3" name="Scroll Bar 18">
              <controlPr defaultSize="0" autoPict="0">
                <anchor moveWithCells="1">
                  <from>
                    <xdr:col>3</xdr:col>
                    <xdr:colOff>38100</xdr:colOff>
                    <xdr:row>20</xdr:row>
                    <xdr:rowOff>28575</xdr:rowOff>
                  </from>
                  <to>
                    <xdr:col>3</xdr:col>
                    <xdr:colOff>1143000</xdr:colOff>
                    <xdr:row>20</xdr:row>
                    <xdr:rowOff>219075</xdr:rowOff>
                  </to>
                </anchor>
              </controlPr>
            </control>
          </mc:Choice>
        </mc:AlternateContent>
        <mc:AlternateContent xmlns:mc="http://schemas.openxmlformats.org/markup-compatibility/2006">
          <mc:Choice Requires="x14">
            <control shapeId="17428" r:id="rId4" name="Scroll Bar 20">
              <controlPr defaultSize="0" autoPict="0">
                <anchor moveWithCells="1">
                  <from>
                    <xdr:col>3</xdr:col>
                    <xdr:colOff>38100</xdr:colOff>
                    <xdr:row>22</xdr:row>
                    <xdr:rowOff>28575</xdr:rowOff>
                  </from>
                  <to>
                    <xdr:col>3</xdr:col>
                    <xdr:colOff>1143000</xdr:colOff>
                    <xdr:row>22</xdr:row>
                    <xdr:rowOff>219075</xdr:rowOff>
                  </to>
                </anchor>
              </controlPr>
            </control>
          </mc:Choice>
        </mc:AlternateContent>
        <mc:AlternateContent xmlns:mc="http://schemas.openxmlformats.org/markup-compatibility/2006">
          <mc:Choice Requires="x14">
            <control shapeId="17429" r:id="rId5" name="Scroll Bar 21">
              <controlPr defaultSize="0" autoPict="0">
                <anchor moveWithCells="1">
                  <from>
                    <xdr:col>3</xdr:col>
                    <xdr:colOff>38100</xdr:colOff>
                    <xdr:row>23</xdr:row>
                    <xdr:rowOff>28575</xdr:rowOff>
                  </from>
                  <to>
                    <xdr:col>3</xdr:col>
                    <xdr:colOff>1143000</xdr:colOff>
                    <xdr:row>23</xdr:row>
                    <xdr:rowOff>219075</xdr:rowOff>
                  </to>
                </anchor>
              </controlPr>
            </control>
          </mc:Choice>
        </mc:AlternateContent>
        <mc:AlternateContent xmlns:mc="http://schemas.openxmlformats.org/markup-compatibility/2006">
          <mc:Choice Requires="x14">
            <control shapeId="17430" r:id="rId6" name="Scroll Bar 22">
              <controlPr defaultSize="0" autoPict="0">
                <anchor moveWithCells="1">
                  <from>
                    <xdr:col>3</xdr:col>
                    <xdr:colOff>38100</xdr:colOff>
                    <xdr:row>24</xdr:row>
                    <xdr:rowOff>28575</xdr:rowOff>
                  </from>
                  <to>
                    <xdr:col>3</xdr:col>
                    <xdr:colOff>1143000</xdr:colOff>
                    <xdr:row>24</xdr:row>
                    <xdr:rowOff>219075</xdr:rowOff>
                  </to>
                </anchor>
              </controlPr>
            </control>
          </mc:Choice>
        </mc:AlternateContent>
        <mc:AlternateContent xmlns:mc="http://schemas.openxmlformats.org/markup-compatibility/2006">
          <mc:Choice Requires="x14">
            <control shapeId="17431" r:id="rId7" name="Scroll Bar 23">
              <controlPr defaultSize="0" autoPict="0">
                <anchor moveWithCells="1">
                  <from>
                    <xdr:col>3</xdr:col>
                    <xdr:colOff>38100</xdr:colOff>
                    <xdr:row>26</xdr:row>
                    <xdr:rowOff>28575</xdr:rowOff>
                  </from>
                  <to>
                    <xdr:col>3</xdr:col>
                    <xdr:colOff>1143000</xdr:colOff>
                    <xdr:row>26</xdr:row>
                    <xdr:rowOff>219075</xdr:rowOff>
                  </to>
                </anchor>
              </controlPr>
            </control>
          </mc:Choice>
        </mc:AlternateContent>
        <mc:AlternateContent xmlns:mc="http://schemas.openxmlformats.org/markup-compatibility/2006">
          <mc:Choice Requires="x14">
            <control shapeId="17432" r:id="rId8" name="Scroll Bar 24">
              <controlPr defaultSize="0" autoPict="0">
                <anchor moveWithCells="1">
                  <from>
                    <xdr:col>3</xdr:col>
                    <xdr:colOff>38100</xdr:colOff>
                    <xdr:row>27</xdr:row>
                    <xdr:rowOff>28575</xdr:rowOff>
                  </from>
                  <to>
                    <xdr:col>3</xdr:col>
                    <xdr:colOff>1143000</xdr:colOff>
                    <xdr:row>27</xdr:row>
                    <xdr:rowOff>219075</xdr:rowOff>
                  </to>
                </anchor>
              </controlPr>
            </control>
          </mc:Choice>
        </mc:AlternateContent>
        <mc:AlternateContent xmlns:mc="http://schemas.openxmlformats.org/markup-compatibility/2006">
          <mc:Choice Requires="x14">
            <control shapeId="17433" r:id="rId9" name="Scroll Bar 25">
              <controlPr defaultSize="0" autoPict="0">
                <anchor moveWithCells="1">
                  <from>
                    <xdr:col>3</xdr:col>
                    <xdr:colOff>38100</xdr:colOff>
                    <xdr:row>19</xdr:row>
                    <xdr:rowOff>28575</xdr:rowOff>
                  </from>
                  <to>
                    <xdr:col>3</xdr:col>
                    <xdr:colOff>1143000</xdr:colOff>
                    <xdr:row>19</xdr:row>
                    <xdr:rowOff>219075</xdr:rowOff>
                  </to>
                </anchor>
              </controlPr>
            </control>
          </mc:Choice>
        </mc:AlternateContent>
        <mc:AlternateContent xmlns:mc="http://schemas.openxmlformats.org/markup-compatibility/2006">
          <mc:Choice Requires="x14">
            <control shapeId="17435" r:id="rId10" name="Scroll Bar 27">
              <controlPr defaultSize="0" autoPict="0">
                <anchor moveWithCells="1">
                  <from>
                    <xdr:col>3</xdr:col>
                    <xdr:colOff>38100</xdr:colOff>
                    <xdr:row>29</xdr:row>
                    <xdr:rowOff>28575</xdr:rowOff>
                  </from>
                  <to>
                    <xdr:col>3</xdr:col>
                    <xdr:colOff>1143000</xdr:colOff>
                    <xdr:row>29</xdr:row>
                    <xdr:rowOff>219075</xdr:rowOff>
                  </to>
                </anchor>
              </controlPr>
            </control>
          </mc:Choice>
        </mc:AlternateContent>
        <mc:AlternateContent xmlns:mc="http://schemas.openxmlformats.org/markup-compatibility/2006">
          <mc:Choice Requires="x14">
            <control shapeId="17436" r:id="rId11" name="Scroll Bar 28">
              <controlPr defaultSize="0" autoPict="0">
                <anchor moveWithCells="1">
                  <from>
                    <xdr:col>3</xdr:col>
                    <xdr:colOff>38100</xdr:colOff>
                    <xdr:row>30</xdr:row>
                    <xdr:rowOff>28575</xdr:rowOff>
                  </from>
                  <to>
                    <xdr:col>3</xdr:col>
                    <xdr:colOff>1143000</xdr:colOff>
                    <xdr:row>30</xdr:row>
                    <xdr:rowOff>219075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sheetPr>
  <dimension ref="A2:AD124"/>
  <sheetViews>
    <sheetView workbookViewId="0"/>
  </sheetViews>
  <sheetFormatPr defaultColWidth="8.85546875" defaultRowHeight="15.75" outlineLevelRow="1"/>
  <cols>
    <col min="1" max="1" width="6" style="385" customWidth="1"/>
    <col min="2" max="2" width="8.85546875" style="385"/>
    <col min="3" max="3" width="33" style="341" customWidth="1"/>
    <col min="4" max="4" width="16.42578125" style="385" customWidth="1"/>
    <col min="5" max="5" width="16" style="525" customWidth="1"/>
    <col min="6" max="6" width="3.140625" style="385" customWidth="1"/>
    <col min="7" max="7" width="11.28515625" style="385" customWidth="1"/>
    <col min="8" max="8" width="51.85546875" style="385" customWidth="1"/>
    <col min="9" max="9" width="84.140625" style="385" customWidth="1"/>
    <col min="10" max="10" width="9" style="385" bestFit="1" customWidth="1"/>
    <col min="11" max="11" width="34.42578125" style="385" customWidth="1"/>
    <col min="12" max="16384" width="8.85546875" style="385"/>
  </cols>
  <sheetData>
    <row r="2" spans="1:30">
      <c r="I2" s="114" t="s">
        <v>43</v>
      </c>
    </row>
    <row r="3" spans="1:30" ht="21">
      <c r="C3" s="573" t="s">
        <v>32</v>
      </c>
      <c r="G3" s="506"/>
      <c r="H3" s="488"/>
      <c r="I3" s="591" t="s">
        <v>161</v>
      </c>
      <c r="K3" s="24"/>
    </row>
    <row r="4" spans="1:30">
      <c r="C4" s="341" t="s">
        <v>95</v>
      </c>
      <c r="G4" s="506"/>
      <c r="H4" s="495"/>
      <c r="I4" s="592"/>
      <c r="K4" s="24"/>
    </row>
    <row r="5" spans="1:30">
      <c r="E5" s="489"/>
      <c r="K5" s="490"/>
    </row>
    <row r="6" spans="1:30">
      <c r="C6" s="589" t="s">
        <v>25</v>
      </c>
      <c r="D6" s="39" t="s">
        <v>5</v>
      </c>
      <c r="E6" s="590" t="s">
        <v>94</v>
      </c>
      <c r="G6" s="491"/>
      <c r="H6" s="41" t="s">
        <v>33</v>
      </c>
      <c r="I6" s="39" t="s">
        <v>34</v>
      </c>
      <c r="J6" s="395"/>
    </row>
    <row r="7" spans="1:30">
      <c r="B7" s="494" t="s">
        <v>0</v>
      </c>
      <c r="C7" s="575"/>
      <c r="D7" s="43"/>
      <c r="E7" s="587"/>
      <c r="F7" s="495"/>
      <c r="G7" s="495"/>
      <c r="H7" s="464"/>
      <c r="I7" s="464"/>
      <c r="J7" s="496"/>
      <c r="K7" s="496"/>
      <c r="L7" s="497"/>
      <c r="M7" s="497"/>
      <c r="N7" s="497"/>
      <c r="O7" s="497"/>
      <c r="P7" s="497"/>
      <c r="Q7" s="497"/>
      <c r="R7" s="497"/>
      <c r="S7" s="497"/>
      <c r="T7" s="497"/>
      <c r="U7" s="497"/>
      <c r="V7" s="497"/>
      <c r="W7" s="497"/>
      <c r="X7" s="497"/>
      <c r="Y7" s="497"/>
      <c r="Z7" s="497"/>
      <c r="AA7" s="497"/>
      <c r="AB7" s="497"/>
      <c r="AC7" s="497"/>
      <c r="AD7" s="497"/>
    </row>
    <row r="8" spans="1:30" ht="31.5">
      <c r="A8" s="528"/>
      <c r="B8" s="528"/>
      <c r="C8" s="576" t="s">
        <v>212</v>
      </c>
      <c r="D8" s="465" t="s">
        <v>19</v>
      </c>
      <c r="E8" s="568">
        <f>'Scenarios Output'!E20/1000</f>
        <v>0.15</v>
      </c>
      <c r="F8" s="473"/>
      <c r="G8" s="473"/>
      <c r="H8" s="477" t="s">
        <v>318</v>
      </c>
      <c r="I8" s="465" t="s">
        <v>319</v>
      </c>
      <c r="J8" s="496"/>
      <c r="K8" s="496"/>
      <c r="L8" s="497"/>
      <c r="M8" s="497"/>
      <c r="N8" s="497"/>
      <c r="O8" s="497"/>
      <c r="P8" s="497"/>
      <c r="Q8" s="497"/>
      <c r="R8" s="497"/>
      <c r="S8" s="497"/>
      <c r="T8" s="497"/>
      <c r="U8" s="497"/>
      <c r="V8" s="497"/>
      <c r="W8" s="497"/>
      <c r="X8" s="497"/>
      <c r="Y8" s="497"/>
      <c r="Z8" s="497"/>
      <c r="AA8" s="497"/>
      <c r="AB8" s="497"/>
      <c r="AC8" s="497"/>
      <c r="AD8" s="497"/>
    </row>
    <row r="9" spans="1:30">
      <c r="A9" s="528"/>
      <c r="B9" s="528"/>
      <c r="C9" s="576" t="s">
        <v>186</v>
      </c>
      <c r="D9" s="465" t="s">
        <v>19</v>
      </c>
      <c r="E9" s="568">
        <f>'Scenarios Output'!E21/1000</f>
        <v>0.25</v>
      </c>
      <c r="F9" s="473"/>
      <c r="G9" s="473"/>
      <c r="H9" s="465" t="s">
        <v>320</v>
      </c>
      <c r="I9" s="475" t="s">
        <v>76</v>
      </c>
      <c r="J9" s="496"/>
      <c r="K9" s="496"/>
      <c r="L9" s="497"/>
      <c r="M9" s="497"/>
      <c r="N9" s="497"/>
      <c r="O9" s="497"/>
      <c r="P9" s="497"/>
      <c r="Q9" s="497"/>
      <c r="R9" s="497"/>
      <c r="S9" s="497"/>
      <c r="T9" s="497"/>
      <c r="U9" s="497"/>
      <c r="V9" s="497"/>
      <c r="W9" s="497"/>
      <c r="X9" s="497"/>
      <c r="Y9" s="497"/>
      <c r="Z9" s="497"/>
      <c r="AA9" s="497"/>
      <c r="AB9" s="497"/>
      <c r="AC9" s="497"/>
      <c r="AD9" s="497"/>
    </row>
    <row r="10" spans="1:30" ht="47.25">
      <c r="A10" s="528"/>
      <c r="B10" s="528"/>
      <c r="C10" s="576" t="s">
        <v>2</v>
      </c>
      <c r="D10" s="536" t="s">
        <v>341</v>
      </c>
      <c r="E10" s="588">
        <f>0.00218</f>
        <v>2.1800000000000001E-3</v>
      </c>
      <c r="F10" s="473"/>
      <c r="G10" s="473"/>
      <c r="H10" s="465" t="s">
        <v>77</v>
      </c>
      <c r="I10" s="465" t="s">
        <v>78</v>
      </c>
      <c r="J10" s="496"/>
      <c r="K10" s="496"/>
      <c r="L10" s="497"/>
      <c r="M10" s="497"/>
      <c r="N10" s="497"/>
      <c r="O10" s="497"/>
      <c r="P10" s="497"/>
      <c r="Q10" s="497"/>
      <c r="R10" s="497"/>
      <c r="S10" s="497"/>
      <c r="T10" s="497"/>
      <c r="U10" s="497"/>
      <c r="V10" s="497"/>
      <c r="W10" s="497"/>
      <c r="X10" s="497"/>
      <c r="Y10" s="497"/>
      <c r="Z10" s="497"/>
      <c r="AA10" s="497"/>
      <c r="AB10" s="497"/>
      <c r="AC10" s="497"/>
      <c r="AD10" s="497"/>
    </row>
    <row r="11" spans="1:30">
      <c r="A11" s="528"/>
      <c r="B11" s="528"/>
      <c r="C11" s="576" t="s">
        <v>6</v>
      </c>
      <c r="D11" s="465" t="s">
        <v>8</v>
      </c>
      <c r="E11" s="568" t="s">
        <v>174</v>
      </c>
      <c r="F11" s="473"/>
      <c r="G11" s="473"/>
      <c r="H11" s="466" t="s">
        <v>321</v>
      </c>
      <c r="I11" s="465"/>
      <c r="J11" s="496"/>
      <c r="K11" s="496"/>
      <c r="L11" s="497"/>
      <c r="M11" s="497"/>
      <c r="N11" s="497"/>
      <c r="O11" s="497"/>
      <c r="P11" s="497"/>
      <c r="Q11" s="497"/>
      <c r="R11" s="497"/>
      <c r="S11" s="497"/>
      <c r="T11" s="497"/>
      <c r="U11" s="497"/>
      <c r="V11" s="497"/>
      <c r="W11" s="497"/>
      <c r="X11" s="497"/>
      <c r="Y11" s="497"/>
      <c r="Z11" s="497"/>
      <c r="AA11" s="497"/>
      <c r="AB11" s="497"/>
      <c r="AC11" s="497"/>
      <c r="AD11" s="497"/>
    </row>
    <row r="12" spans="1:30" ht="31.5">
      <c r="A12" s="528"/>
      <c r="B12" s="528"/>
      <c r="C12" s="576" t="s">
        <v>195</v>
      </c>
      <c r="D12" s="465" t="s">
        <v>213</v>
      </c>
      <c r="E12" s="571">
        <v>10</v>
      </c>
      <c r="F12" s="473"/>
      <c r="G12" s="473"/>
      <c r="H12" s="466" t="s">
        <v>197</v>
      </c>
      <c r="I12" s="465" t="s">
        <v>332</v>
      </c>
      <c r="J12" s="496"/>
      <c r="K12" s="496"/>
      <c r="L12" s="497"/>
      <c r="M12" s="497"/>
      <c r="N12" s="497"/>
      <c r="O12" s="497"/>
      <c r="P12" s="497"/>
      <c r="Q12" s="497"/>
      <c r="R12" s="497"/>
      <c r="S12" s="497"/>
      <c r="T12" s="497"/>
      <c r="U12" s="497"/>
      <c r="V12" s="497"/>
      <c r="W12" s="497"/>
      <c r="X12" s="497"/>
      <c r="Y12" s="497"/>
      <c r="Z12" s="497"/>
      <c r="AA12" s="497"/>
      <c r="AB12" s="497"/>
      <c r="AC12" s="497"/>
      <c r="AD12" s="497"/>
    </row>
    <row r="13" spans="1:30" ht="31.5">
      <c r="A13" s="528"/>
      <c r="B13" s="528"/>
      <c r="C13" s="576" t="s">
        <v>196</v>
      </c>
      <c r="D13" s="465" t="s">
        <v>213</v>
      </c>
      <c r="E13" s="568">
        <v>2.77</v>
      </c>
      <c r="F13" s="473"/>
      <c r="G13" s="473"/>
      <c r="H13" s="466" t="s">
        <v>197</v>
      </c>
      <c r="I13" s="465" t="s">
        <v>332</v>
      </c>
      <c r="J13" s="496"/>
      <c r="K13" s="496"/>
      <c r="L13" s="497"/>
      <c r="M13" s="497"/>
      <c r="N13" s="497"/>
      <c r="O13" s="497"/>
      <c r="P13" s="497"/>
      <c r="Q13" s="497"/>
      <c r="R13" s="497"/>
      <c r="S13" s="497"/>
      <c r="T13" s="497"/>
      <c r="U13" s="497"/>
      <c r="V13" s="497"/>
      <c r="W13" s="497"/>
      <c r="X13" s="497"/>
      <c r="Y13" s="497"/>
      <c r="Z13" s="497"/>
      <c r="AA13" s="497"/>
      <c r="AB13" s="497"/>
      <c r="AC13" s="497"/>
      <c r="AD13" s="497"/>
    </row>
    <row r="14" spans="1:30">
      <c r="A14" s="35" t="s">
        <v>125</v>
      </c>
      <c r="C14" s="576"/>
      <c r="D14" s="465"/>
      <c r="E14" s="568"/>
      <c r="F14" s="495"/>
      <c r="G14" s="495"/>
      <c r="H14" s="466"/>
      <c r="I14" s="465"/>
      <c r="J14" s="496"/>
      <c r="K14" s="496"/>
      <c r="L14" s="497"/>
      <c r="M14" s="497"/>
      <c r="N14" s="497"/>
      <c r="O14" s="497"/>
      <c r="P14" s="497"/>
      <c r="Q14" s="497"/>
      <c r="R14" s="497"/>
      <c r="S14" s="497"/>
      <c r="T14" s="497"/>
      <c r="U14" s="497"/>
      <c r="V14" s="497"/>
      <c r="W14" s="497"/>
      <c r="X14" s="497"/>
      <c r="Y14" s="497"/>
      <c r="Z14" s="497"/>
      <c r="AA14" s="497"/>
      <c r="AB14" s="497"/>
      <c r="AC14" s="497"/>
      <c r="AD14" s="497"/>
    </row>
    <row r="15" spans="1:30" outlineLevel="1">
      <c r="A15" s="35"/>
      <c r="C15" s="576" t="s">
        <v>73</v>
      </c>
      <c r="D15" s="465" t="s">
        <v>9</v>
      </c>
      <c r="E15" s="571">
        <v>100000</v>
      </c>
      <c r="G15" s="495"/>
      <c r="H15" s="465"/>
      <c r="I15" s="478" t="s">
        <v>208</v>
      </c>
      <c r="J15" s="496"/>
      <c r="K15" s="496"/>
      <c r="L15" s="497"/>
      <c r="M15" s="497"/>
      <c r="N15" s="497"/>
      <c r="O15" s="497"/>
      <c r="P15" s="497"/>
      <c r="Q15" s="497"/>
      <c r="R15" s="497"/>
      <c r="S15" s="497"/>
      <c r="T15" s="497"/>
      <c r="U15" s="497"/>
      <c r="V15" s="497"/>
      <c r="W15" s="497"/>
      <c r="X15" s="497"/>
      <c r="Y15" s="497"/>
      <c r="Z15" s="497"/>
      <c r="AA15" s="497"/>
      <c r="AB15" s="497"/>
      <c r="AC15" s="497"/>
      <c r="AD15" s="497"/>
    </row>
    <row r="16" spans="1:30" outlineLevel="1">
      <c r="C16" s="577" t="s">
        <v>69</v>
      </c>
      <c r="D16" s="465" t="s">
        <v>71</v>
      </c>
      <c r="E16" s="499">
        <v>150</v>
      </c>
      <c r="G16" s="495"/>
      <c r="H16" s="465"/>
      <c r="I16" s="465"/>
      <c r="J16" s="496"/>
      <c r="K16" s="496"/>
      <c r="L16" s="497"/>
      <c r="M16" s="497"/>
      <c r="N16" s="497"/>
      <c r="O16" s="497"/>
      <c r="P16" s="497"/>
      <c r="Q16" s="497"/>
      <c r="R16" s="497"/>
      <c r="S16" s="497"/>
      <c r="T16" s="497"/>
      <c r="U16" s="497"/>
      <c r="V16" s="497"/>
      <c r="W16" s="497"/>
      <c r="X16" s="497"/>
      <c r="Y16" s="497"/>
      <c r="Z16" s="497"/>
      <c r="AA16" s="497"/>
      <c r="AB16" s="497"/>
      <c r="AC16" s="497"/>
      <c r="AD16" s="497"/>
    </row>
    <row r="17" spans="1:30" outlineLevel="1">
      <c r="C17" s="577" t="s">
        <v>70</v>
      </c>
      <c r="D17" s="465" t="s">
        <v>72</v>
      </c>
      <c r="E17" s="499">
        <v>0</v>
      </c>
      <c r="G17" s="495"/>
      <c r="H17" s="465"/>
      <c r="I17" s="465"/>
      <c r="J17" s="496"/>
      <c r="K17" s="496"/>
      <c r="L17" s="497"/>
      <c r="M17" s="497"/>
      <c r="N17" s="497"/>
      <c r="O17" s="497"/>
      <c r="P17" s="497"/>
      <c r="Q17" s="497"/>
      <c r="R17" s="497"/>
      <c r="S17" s="497"/>
      <c r="T17" s="497"/>
      <c r="U17" s="497"/>
      <c r="V17" s="497"/>
      <c r="W17" s="497"/>
      <c r="X17" s="497"/>
      <c r="Y17" s="497"/>
      <c r="Z17" s="497"/>
      <c r="AA17" s="497"/>
      <c r="AB17" s="497"/>
      <c r="AC17" s="497"/>
      <c r="AD17" s="497"/>
    </row>
    <row r="18" spans="1:30" ht="31.5" outlineLevel="1">
      <c r="C18" s="577" t="s">
        <v>30</v>
      </c>
      <c r="D18" s="465" t="s">
        <v>84</v>
      </c>
      <c r="E18" s="500">
        <v>0.14000000000000001</v>
      </c>
      <c r="G18" s="495"/>
      <c r="H18" s="465" t="s">
        <v>322</v>
      </c>
      <c r="I18" s="465" t="s">
        <v>101</v>
      </c>
      <c r="J18" s="496"/>
      <c r="K18" s="496"/>
      <c r="L18" s="497"/>
      <c r="M18" s="497"/>
      <c r="N18" s="497"/>
      <c r="O18" s="497"/>
      <c r="P18" s="497"/>
      <c r="Q18" s="497"/>
      <c r="R18" s="497"/>
      <c r="S18" s="497"/>
      <c r="T18" s="497"/>
      <c r="U18" s="497"/>
      <c r="V18" s="497"/>
      <c r="W18" s="497"/>
      <c r="X18" s="497"/>
      <c r="Y18" s="497"/>
      <c r="Z18" s="497"/>
      <c r="AA18" s="497"/>
      <c r="AB18" s="497"/>
      <c r="AC18" s="497"/>
      <c r="AD18" s="497"/>
    </row>
    <row r="19" spans="1:30" ht="31.5" outlineLevel="1">
      <c r="C19" s="576" t="s">
        <v>74</v>
      </c>
      <c r="D19" s="465" t="s">
        <v>9</v>
      </c>
      <c r="E19" s="498">
        <v>50000</v>
      </c>
      <c r="G19" s="495"/>
      <c r="H19" s="465"/>
      <c r="I19" s="478" t="s">
        <v>209</v>
      </c>
      <c r="J19" s="496"/>
      <c r="K19" s="496"/>
      <c r="L19" s="497"/>
      <c r="M19" s="497"/>
      <c r="N19" s="497"/>
      <c r="O19" s="497"/>
      <c r="P19" s="497"/>
      <c r="Q19" s="497"/>
      <c r="R19" s="497"/>
      <c r="S19" s="497"/>
      <c r="T19" s="497"/>
      <c r="U19" s="497"/>
      <c r="V19" s="497"/>
      <c r="W19" s="497"/>
      <c r="X19" s="497"/>
      <c r="Y19" s="497"/>
      <c r="Z19" s="497"/>
      <c r="AA19" s="497"/>
      <c r="AB19" s="497"/>
      <c r="AC19" s="497"/>
      <c r="AD19" s="497"/>
    </row>
    <row r="20" spans="1:30" outlineLevel="1">
      <c r="C20" s="577" t="s">
        <v>69</v>
      </c>
      <c r="D20" s="465" t="s">
        <v>71</v>
      </c>
      <c r="E20" s="499">
        <v>4.9000000000000004</v>
      </c>
      <c r="G20" s="495"/>
      <c r="H20" s="465"/>
      <c r="I20" s="465"/>
      <c r="J20" s="496"/>
      <c r="K20" s="496"/>
      <c r="L20" s="497"/>
      <c r="M20" s="497"/>
      <c r="N20" s="497"/>
      <c r="O20" s="497"/>
      <c r="P20" s="497"/>
      <c r="Q20" s="497"/>
      <c r="R20" s="497"/>
      <c r="S20" s="497"/>
      <c r="T20" s="497"/>
      <c r="U20" s="497"/>
      <c r="V20" s="497"/>
      <c r="W20" s="497"/>
      <c r="X20" s="497"/>
      <c r="Y20" s="497"/>
      <c r="Z20" s="497"/>
      <c r="AA20" s="497"/>
      <c r="AB20" s="497"/>
      <c r="AC20" s="497"/>
      <c r="AD20" s="497"/>
    </row>
    <row r="21" spans="1:30" outlineLevel="1">
      <c r="C21" s="577" t="s">
        <v>70</v>
      </c>
      <c r="D21" s="465" t="s">
        <v>72</v>
      </c>
      <c r="E21" s="499">
        <v>0</v>
      </c>
      <c r="G21" s="495"/>
      <c r="H21" s="465"/>
      <c r="I21" s="465"/>
      <c r="J21" s="496"/>
      <c r="K21" s="496"/>
      <c r="L21" s="497"/>
      <c r="M21" s="497"/>
      <c r="N21" s="497"/>
      <c r="O21" s="497"/>
      <c r="P21" s="497"/>
      <c r="Q21" s="497"/>
      <c r="R21" s="497"/>
      <c r="S21" s="497"/>
      <c r="T21" s="497"/>
      <c r="U21" s="497"/>
      <c r="V21" s="497"/>
      <c r="W21" s="497"/>
      <c r="X21" s="497"/>
      <c r="Y21" s="497"/>
      <c r="Z21" s="497"/>
      <c r="AA21" s="497"/>
      <c r="AB21" s="497"/>
      <c r="AC21" s="497"/>
      <c r="AD21" s="497"/>
    </row>
    <row r="22" spans="1:30" ht="31.5" outlineLevel="1">
      <c r="C22" s="577" t="s">
        <v>30</v>
      </c>
      <c r="D22" s="465" t="s">
        <v>84</v>
      </c>
      <c r="E22" s="500">
        <v>0.14000000000000001</v>
      </c>
      <c r="G22" s="495"/>
      <c r="H22" s="465" t="s">
        <v>322</v>
      </c>
      <c r="I22" s="465"/>
      <c r="J22" s="496"/>
      <c r="K22" s="496"/>
      <c r="L22" s="497"/>
      <c r="M22" s="497"/>
      <c r="N22" s="497"/>
      <c r="O22" s="497"/>
      <c r="P22" s="497"/>
      <c r="Q22" s="497"/>
      <c r="R22" s="497"/>
      <c r="S22" s="497"/>
      <c r="T22" s="497"/>
      <c r="U22" s="497"/>
      <c r="V22" s="497"/>
      <c r="W22" s="497"/>
      <c r="X22" s="497"/>
      <c r="Y22" s="497"/>
      <c r="Z22" s="497"/>
      <c r="AA22" s="497"/>
      <c r="AB22" s="497"/>
      <c r="AC22" s="497"/>
      <c r="AD22" s="497"/>
    </row>
    <row r="23" spans="1:30" outlineLevel="1">
      <c r="C23" s="576" t="s">
        <v>214</v>
      </c>
      <c r="D23" s="465" t="s">
        <v>9</v>
      </c>
      <c r="E23" s="498">
        <v>10000</v>
      </c>
      <c r="G23" s="495"/>
      <c r="H23" s="465"/>
      <c r="I23" s="478" t="s">
        <v>323</v>
      </c>
      <c r="J23" s="496"/>
      <c r="K23" s="496"/>
      <c r="L23" s="497"/>
      <c r="M23" s="497"/>
      <c r="N23" s="497"/>
      <c r="O23" s="497"/>
      <c r="P23" s="497"/>
      <c r="Q23" s="497"/>
      <c r="R23" s="497"/>
      <c r="S23" s="497"/>
      <c r="T23" s="497"/>
      <c r="U23" s="497"/>
      <c r="V23" s="497"/>
      <c r="W23" s="497"/>
      <c r="X23" s="497"/>
      <c r="Y23" s="497"/>
      <c r="Z23" s="497"/>
      <c r="AA23" s="497"/>
      <c r="AB23" s="497"/>
      <c r="AC23" s="497"/>
      <c r="AD23" s="497"/>
    </row>
    <row r="24" spans="1:30" outlineLevel="1">
      <c r="C24" s="577" t="s">
        <v>69</v>
      </c>
      <c r="D24" s="465" t="s">
        <v>71</v>
      </c>
      <c r="E24" s="499">
        <v>0</v>
      </c>
      <c r="G24" s="495"/>
      <c r="H24" s="465"/>
      <c r="I24" s="465"/>
      <c r="J24" s="496"/>
      <c r="K24" s="496"/>
      <c r="L24" s="497"/>
      <c r="M24" s="497"/>
      <c r="N24" s="497"/>
      <c r="O24" s="497"/>
      <c r="P24" s="497"/>
      <c r="Q24" s="497"/>
      <c r="R24" s="497"/>
      <c r="S24" s="497"/>
      <c r="T24" s="497"/>
      <c r="U24" s="497"/>
      <c r="V24" s="497"/>
      <c r="W24" s="497"/>
      <c r="X24" s="497"/>
      <c r="Y24" s="497"/>
      <c r="Z24" s="497"/>
      <c r="AA24" s="497"/>
      <c r="AB24" s="497"/>
      <c r="AC24" s="497"/>
      <c r="AD24" s="497"/>
    </row>
    <row r="25" spans="1:30" outlineLevel="1">
      <c r="C25" s="577" t="s">
        <v>70</v>
      </c>
      <c r="D25" s="465" t="s">
        <v>72</v>
      </c>
      <c r="E25" s="499">
        <v>0</v>
      </c>
      <c r="G25" s="495"/>
      <c r="H25" s="465"/>
      <c r="I25" s="465"/>
      <c r="J25" s="496"/>
      <c r="K25" s="496"/>
      <c r="L25" s="497"/>
      <c r="M25" s="497"/>
      <c r="N25" s="497"/>
      <c r="O25" s="497"/>
      <c r="P25" s="497"/>
      <c r="Q25" s="497"/>
      <c r="R25" s="497"/>
      <c r="S25" s="497"/>
      <c r="T25" s="497"/>
      <c r="U25" s="497"/>
      <c r="V25" s="497"/>
      <c r="W25" s="497"/>
      <c r="X25" s="497"/>
      <c r="Y25" s="497"/>
      <c r="Z25" s="497"/>
      <c r="AA25" s="497"/>
      <c r="AB25" s="497"/>
      <c r="AC25" s="497"/>
      <c r="AD25" s="497"/>
    </row>
    <row r="26" spans="1:30" ht="31.5" outlineLevel="1">
      <c r="C26" s="577" t="s">
        <v>30</v>
      </c>
      <c r="D26" s="465" t="s">
        <v>84</v>
      </c>
      <c r="E26" s="500">
        <v>0.14000000000000001</v>
      </c>
      <c r="G26" s="495"/>
      <c r="H26" s="465" t="s">
        <v>322</v>
      </c>
      <c r="I26" s="465"/>
      <c r="J26" s="496"/>
      <c r="K26" s="496"/>
      <c r="L26" s="497"/>
      <c r="M26" s="497"/>
      <c r="N26" s="497"/>
      <c r="O26" s="497"/>
      <c r="P26" s="497"/>
      <c r="Q26" s="497"/>
      <c r="R26" s="497"/>
      <c r="S26" s="497"/>
      <c r="T26" s="497"/>
      <c r="U26" s="497"/>
      <c r="V26" s="497"/>
      <c r="W26" s="497"/>
      <c r="X26" s="497"/>
      <c r="Y26" s="497"/>
      <c r="Z26" s="497"/>
      <c r="AA26" s="497"/>
      <c r="AB26" s="497"/>
      <c r="AC26" s="497"/>
      <c r="AD26" s="497"/>
    </row>
    <row r="27" spans="1:30" outlineLevel="1">
      <c r="B27" s="435"/>
      <c r="C27" s="576" t="s">
        <v>75</v>
      </c>
      <c r="D27" s="465" t="s">
        <v>9</v>
      </c>
      <c r="E27" s="498">
        <v>200000</v>
      </c>
      <c r="G27" s="495"/>
      <c r="H27" s="465"/>
      <c r="I27" s="526" t="s">
        <v>333</v>
      </c>
      <c r="J27" s="496"/>
      <c r="K27" s="496"/>
      <c r="L27" s="497"/>
      <c r="M27" s="497"/>
      <c r="N27" s="497"/>
      <c r="O27" s="497"/>
      <c r="P27" s="497"/>
      <c r="Q27" s="497"/>
      <c r="R27" s="497"/>
      <c r="S27" s="497"/>
      <c r="T27" s="497"/>
      <c r="U27" s="497"/>
      <c r="V27" s="497"/>
      <c r="W27" s="497"/>
      <c r="X27" s="497"/>
      <c r="Y27" s="497"/>
      <c r="Z27" s="497"/>
      <c r="AA27" s="497"/>
      <c r="AB27" s="497"/>
      <c r="AC27" s="497"/>
      <c r="AD27" s="497"/>
    </row>
    <row r="28" spans="1:30" outlineLevel="1">
      <c r="B28" s="435"/>
      <c r="C28" s="577" t="s">
        <v>69</v>
      </c>
      <c r="D28" s="465" t="s">
        <v>71</v>
      </c>
      <c r="E28" s="499">
        <v>4.4000000000000004</v>
      </c>
      <c r="G28" s="495"/>
      <c r="H28" s="465"/>
      <c r="I28" s="465"/>
      <c r="J28" s="496"/>
      <c r="K28" s="496"/>
      <c r="L28" s="497"/>
      <c r="M28" s="497"/>
      <c r="N28" s="497"/>
      <c r="O28" s="497"/>
      <c r="P28" s="497"/>
      <c r="Q28" s="497"/>
      <c r="R28" s="497"/>
      <c r="S28" s="497"/>
      <c r="T28" s="497"/>
      <c r="U28" s="497"/>
      <c r="V28" s="497"/>
      <c r="W28" s="497"/>
      <c r="X28" s="497"/>
      <c r="Y28" s="497"/>
      <c r="Z28" s="497"/>
      <c r="AA28" s="497"/>
      <c r="AB28" s="497"/>
      <c r="AC28" s="497"/>
      <c r="AD28" s="497"/>
    </row>
    <row r="29" spans="1:30" outlineLevel="1">
      <c r="B29" s="435"/>
      <c r="C29" s="577" t="s">
        <v>70</v>
      </c>
      <c r="D29" s="465" t="s">
        <v>72</v>
      </c>
      <c r="E29" s="499">
        <v>0</v>
      </c>
      <c r="G29" s="495"/>
      <c r="H29" s="476"/>
      <c r="I29" s="465"/>
      <c r="J29" s="496"/>
      <c r="K29" s="496"/>
      <c r="L29" s="497"/>
      <c r="M29" s="497"/>
      <c r="N29" s="497"/>
      <c r="O29" s="497"/>
      <c r="P29" s="497"/>
      <c r="Q29" s="497"/>
      <c r="R29" s="497"/>
      <c r="S29" s="497"/>
      <c r="T29" s="497"/>
      <c r="U29" s="497"/>
      <c r="V29" s="497"/>
      <c r="W29" s="497"/>
      <c r="X29" s="497"/>
      <c r="Y29" s="497"/>
      <c r="Z29" s="497"/>
      <c r="AA29" s="497"/>
      <c r="AB29" s="497"/>
      <c r="AC29" s="497"/>
      <c r="AD29" s="497"/>
    </row>
    <row r="30" spans="1:30" ht="31.5" outlineLevel="1">
      <c r="C30" s="577" t="s">
        <v>30</v>
      </c>
      <c r="D30" s="465" t="s">
        <v>84</v>
      </c>
      <c r="E30" s="500">
        <v>0.14000000000000001</v>
      </c>
      <c r="G30" s="495"/>
      <c r="H30" s="465" t="s">
        <v>322</v>
      </c>
      <c r="I30" s="465"/>
      <c r="J30" s="496"/>
      <c r="K30" s="496"/>
      <c r="L30" s="497"/>
      <c r="M30" s="497"/>
      <c r="N30" s="497"/>
      <c r="O30" s="497"/>
      <c r="P30" s="497"/>
      <c r="Q30" s="497"/>
      <c r="R30" s="497"/>
      <c r="S30" s="497"/>
      <c r="T30" s="497"/>
      <c r="U30" s="497"/>
      <c r="V30" s="497"/>
      <c r="W30" s="497"/>
      <c r="X30" s="497"/>
      <c r="Y30" s="497"/>
      <c r="Z30" s="497"/>
      <c r="AA30" s="497"/>
      <c r="AB30" s="497"/>
      <c r="AC30" s="497"/>
      <c r="AD30" s="497"/>
    </row>
    <row r="31" spans="1:30">
      <c r="A31" s="35" t="s">
        <v>126</v>
      </c>
      <c r="C31" s="577"/>
      <c r="D31" s="465"/>
      <c r="E31" s="45"/>
      <c r="G31" s="495"/>
      <c r="H31" s="465"/>
      <c r="I31" s="465"/>
      <c r="J31" s="496"/>
      <c r="K31" s="496"/>
      <c r="L31" s="497"/>
      <c r="M31" s="497"/>
      <c r="N31" s="497"/>
      <c r="O31" s="497"/>
      <c r="P31" s="497"/>
      <c r="Q31" s="497"/>
      <c r="R31" s="497"/>
      <c r="S31" s="497"/>
      <c r="T31" s="497"/>
      <c r="U31" s="497"/>
      <c r="V31" s="497"/>
      <c r="W31" s="497"/>
      <c r="X31" s="497"/>
      <c r="Y31" s="497"/>
      <c r="Z31" s="497"/>
      <c r="AA31" s="497"/>
      <c r="AB31" s="497"/>
      <c r="AC31" s="497"/>
      <c r="AD31" s="497"/>
    </row>
    <row r="32" spans="1:30" outlineLevel="1">
      <c r="A32" s="35"/>
      <c r="C32" s="576" t="s">
        <v>73</v>
      </c>
      <c r="D32" s="465" t="s">
        <v>9</v>
      </c>
      <c r="E32" s="498">
        <v>200000</v>
      </c>
      <c r="G32" s="495"/>
      <c r="H32" s="465"/>
      <c r="I32" s="478" t="s">
        <v>208</v>
      </c>
      <c r="J32" s="496"/>
      <c r="K32" s="496"/>
      <c r="L32" s="497"/>
      <c r="M32" s="497"/>
      <c r="N32" s="497"/>
      <c r="O32" s="497"/>
      <c r="P32" s="497"/>
      <c r="Q32" s="497"/>
      <c r="R32" s="497"/>
      <c r="S32" s="497"/>
      <c r="T32" s="497"/>
      <c r="U32" s="497"/>
      <c r="V32" s="497"/>
      <c r="W32" s="497"/>
      <c r="X32" s="497"/>
      <c r="Y32" s="497"/>
      <c r="Z32" s="497"/>
      <c r="AA32" s="497"/>
      <c r="AB32" s="497"/>
      <c r="AC32" s="497"/>
      <c r="AD32" s="497"/>
    </row>
    <row r="33" spans="2:30" outlineLevel="1">
      <c r="C33" s="577" t="s">
        <v>69</v>
      </c>
      <c r="D33" s="465" t="s">
        <v>71</v>
      </c>
      <c r="E33" s="501">
        <v>300</v>
      </c>
      <c r="G33" s="495"/>
      <c r="H33" s="465"/>
      <c r="I33" s="465"/>
      <c r="J33" s="496"/>
      <c r="K33" s="496"/>
      <c r="L33" s="497"/>
      <c r="M33" s="497"/>
      <c r="N33" s="497"/>
      <c r="O33" s="497"/>
      <c r="P33" s="497"/>
      <c r="Q33" s="497"/>
      <c r="R33" s="497"/>
      <c r="S33" s="497"/>
      <c r="T33" s="497"/>
      <c r="U33" s="497"/>
      <c r="V33" s="497"/>
      <c r="W33" s="497"/>
      <c r="X33" s="497"/>
      <c r="Y33" s="497"/>
      <c r="Z33" s="497"/>
      <c r="AA33" s="497"/>
      <c r="AB33" s="497"/>
      <c r="AC33" s="497"/>
      <c r="AD33" s="497"/>
    </row>
    <row r="34" spans="2:30" ht="31.5" outlineLevel="1">
      <c r="C34" s="577" t="s">
        <v>30</v>
      </c>
      <c r="D34" s="465" t="s">
        <v>84</v>
      </c>
      <c r="E34" s="500">
        <v>0.14000000000000001</v>
      </c>
      <c r="G34" s="495"/>
      <c r="H34" s="465" t="s">
        <v>322</v>
      </c>
      <c r="I34" s="465"/>
      <c r="J34" s="496"/>
      <c r="K34" s="496"/>
      <c r="L34" s="497"/>
      <c r="M34" s="497"/>
      <c r="N34" s="497"/>
      <c r="O34" s="497"/>
      <c r="P34" s="497"/>
      <c r="Q34" s="497"/>
      <c r="R34" s="497"/>
      <c r="S34" s="497"/>
      <c r="T34" s="497"/>
      <c r="U34" s="497"/>
      <c r="V34" s="497"/>
      <c r="W34" s="497"/>
      <c r="X34" s="497"/>
      <c r="Y34" s="497"/>
      <c r="Z34" s="497"/>
      <c r="AA34" s="497"/>
      <c r="AB34" s="497"/>
      <c r="AC34" s="497"/>
      <c r="AD34" s="497"/>
    </row>
    <row r="35" spans="2:30" ht="31.5" outlineLevel="1">
      <c r="C35" s="576" t="s">
        <v>74</v>
      </c>
      <c r="D35" s="465" t="s">
        <v>9</v>
      </c>
      <c r="E35" s="498">
        <v>100000</v>
      </c>
      <c r="G35" s="495"/>
      <c r="H35" s="465"/>
      <c r="I35" s="478" t="s">
        <v>209</v>
      </c>
      <c r="J35" s="496"/>
      <c r="K35" s="496"/>
      <c r="L35" s="497"/>
      <c r="M35" s="497"/>
      <c r="N35" s="497"/>
      <c r="O35" s="497"/>
      <c r="P35" s="497"/>
      <c r="Q35" s="497"/>
      <c r="R35" s="497"/>
      <c r="S35" s="497"/>
      <c r="T35" s="497"/>
      <c r="U35" s="497"/>
      <c r="V35" s="497"/>
      <c r="W35" s="497"/>
      <c r="X35" s="497"/>
      <c r="Y35" s="497"/>
      <c r="Z35" s="497"/>
      <c r="AA35" s="497"/>
      <c r="AB35" s="497"/>
      <c r="AC35" s="497"/>
      <c r="AD35" s="497"/>
    </row>
    <row r="36" spans="2:30" outlineLevel="1">
      <c r="C36" s="577" t="s">
        <v>69</v>
      </c>
      <c r="D36" s="465" t="s">
        <v>71</v>
      </c>
      <c r="E36" s="502">
        <v>4.9000000000000004</v>
      </c>
      <c r="G36" s="495"/>
      <c r="H36" s="465"/>
      <c r="I36" s="465"/>
      <c r="J36" s="496"/>
      <c r="K36" s="496"/>
      <c r="L36" s="497"/>
      <c r="M36" s="497"/>
      <c r="N36" s="497"/>
      <c r="O36" s="497"/>
      <c r="P36" s="497"/>
      <c r="Q36" s="497"/>
      <c r="R36" s="497"/>
      <c r="S36" s="497"/>
      <c r="T36" s="497"/>
      <c r="U36" s="497"/>
      <c r="V36" s="497"/>
      <c r="W36" s="497"/>
      <c r="X36" s="497"/>
      <c r="Y36" s="497"/>
      <c r="Z36" s="497"/>
      <c r="AA36" s="497"/>
      <c r="AB36" s="497"/>
      <c r="AC36" s="497"/>
      <c r="AD36" s="497"/>
    </row>
    <row r="37" spans="2:30" outlineLevel="1">
      <c r="C37" s="577" t="s">
        <v>70</v>
      </c>
      <c r="D37" s="465" t="s">
        <v>72</v>
      </c>
      <c r="E37" s="501">
        <v>0</v>
      </c>
      <c r="G37" s="495"/>
      <c r="H37" s="465"/>
      <c r="I37" s="465"/>
      <c r="J37" s="496"/>
      <c r="K37" s="496"/>
      <c r="L37" s="497"/>
      <c r="M37" s="497"/>
      <c r="N37" s="497"/>
      <c r="O37" s="497"/>
      <c r="P37" s="497"/>
      <c r="Q37" s="497"/>
      <c r="R37" s="497"/>
      <c r="S37" s="497"/>
      <c r="T37" s="497"/>
      <c r="U37" s="497"/>
      <c r="V37" s="497"/>
      <c r="W37" s="497"/>
      <c r="X37" s="497"/>
      <c r="Y37" s="497"/>
      <c r="Z37" s="497"/>
      <c r="AA37" s="497"/>
      <c r="AB37" s="497"/>
      <c r="AC37" s="497"/>
      <c r="AD37" s="497"/>
    </row>
    <row r="38" spans="2:30" ht="31.5" outlineLevel="1">
      <c r="C38" s="577" t="s">
        <v>30</v>
      </c>
      <c r="D38" s="465" t="s">
        <v>84</v>
      </c>
      <c r="E38" s="500">
        <v>0.14000000000000001</v>
      </c>
      <c r="G38" s="495"/>
      <c r="H38" s="465" t="s">
        <v>322</v>
      </c>
      <c r="I38" s="465"/>
      <c r="J38" s="496"/>
      <c r="K38" s="496"/>
      <c r="L38" s="497"/>
      <c r="M38" s="497"/>
      <c r="N38" s="497"/>
      <c r="O38" s="497"/>
      <c r="P38" s="497"/>
      <c r="Q38" s="497"/>
      <c r="R38" s="497"/>
      <c r="S38" s="497"/>
      <c r="T38" s="497"/>
      <c r="U38" s="497"/>
      <c r="V38" s="497"/>
      <c r="W38" s="497"/>
      <c r="X38" s="497"/>
      <c r="Y38" s="497"/>
      <c r="Z38" s="497"/>
      <c r="AA38" s="497"/>
      <c r="AB38" s="497"/>
      <c r="AC38" s="497"/>
      <c r="AD38" s="497"/>
    </row>
    <row r="39" spans="2:30" outlineLevel="1">
      <c r="C39" s="576" t="s">
        <v>127</v>
      </c>
      <c r="D39" s="465" t="s">
        <v>9</v>
      </c>
      <c r="E39" s="498">
        <v>30000</v>
      </c>
      <c r="G39" s="495"/>
      <c r="H39" s="465"/>
      <c r="I39" s="478" t="s">
        <v>323</v>
      </c>
      <c r="J39" s="496"/>
      <c r="K39" s="496"/>
      <c r="L39" s="497"/>
      <c r="M39" s="497"/>
      <c r="N39" s="497"/>
      <c r="O39" s="497"/>
      <c r="P39" s="497"/>
      <c r="Q39" s="497"/>
      <c r="R39" s="497"/>
      <c r="S39" s="497"/>
      <c r="T39" s="497"/>
      <c r="U39" s="497"/>
      <c r="V39" s="497"/>
      <c r="W39" s="497"/>
      <c r="X39" s="497"/>
      <c r="Y39" s="497"/>
      <c r="Z39" s="497"/>
      <c r="AA39" s="497"/>
      <c r="AB39" s="497"/>
      <c r="AC39" s="497"/>
      <c r="AD39" s="497"/>
    </row>
    <row r="40" spans="2:30" outlineLevel="1">
      <c r="C40" s="577" t="s">
        <v>69</v>
      </c>
      <c r="D40" s="465" t="s">
        <v>71</v>
      </c>
      <c r="E40" s="501">
        <v>0</v>
      </c>
      <c r="G40" s="495"/>
      <c r="H40" s="465"/>
      <c r="I40" s="465"/>
      <c r="J40" s="496"/>
      <c r="K40" s="496"/>
      <c r="L40" s="497"/>
      <c r="M40" s="497"/>
      <c r="N40" s="497"/>
      <c r="O40" s="497"/>
      <c r="P40" s="497"/>
      <c r="Q40" s="497"/>
      <c r="R40" s="497"/>
      <c r="S40" s="497"/>
      <c r="T40" s="497"/>
      <c r="U40" s="497"/>
      <c r="V40" s="497"/>
      <c r="W40" s="497"/>
      <c r="X40" s="497"/>
      <c r="Y40" s="497"/>
      <c r="Z40" s="497"/>
      <c r="AA40" s="497"/>
      <c r="AB40" s="497"/>
      <c r="AC40" s="497"/>
      <c r="AD40" s="497"/>
    </row>
    <row r="41" spans="2:30" outlineLevel="1">
      <c r="C41" s="577" t="s">
        <v>70</v>
      </c>
      <c r="D41" s="465" t="s">
        <v>72</v>
      </c>
      <c r="E41" s="501">
        <v>0</v>
      </c>
      <c r="G41" s="495"/>
      <c r="H41" s="465"/>
      <c r="I41" s="465"/>
      <c r="J41" s="496"/>
      <c r="K41" s="496"/>
      <c r="L41" s="497"/>
      <c r="M41" s="497"/>
      <c r="N41" s="497"/>
      <c r="O41" s="497"/>
      <c r="P41" s="497"/>
      <c r="Q41" s="497"/>
      <c r="R41" s="497"/>
      <c r="S41" s="497"/>
      <c r="T41" s="497"/>
      <c r="U41" s="497"/>
      <c r="V41" s="497"/>
      <c r="W41" s="497"/>
      <c r="X41" s="497"/>
      <c r="Y41" s="497"/>
      <c r="Z41" s="497"/>
      <c r="AA41" s="497"/>
      <c r="AB41" s="497"/>
      <c r="AC41" s="497"/>
      <c r="AD41" s="497"/>
    </row>
    <row r="42" spans="2:30" ht="31.5" outlineLevel="1">
      <c r="C42" s="577" t="s">
        <v>30</v>
      </c>
      <c r="D42" s="465" t="s">
        <v>84</v>
      </c>
      <c r="E42" s="500">
        <v>0.14000000000000001</v>
      </c>
      <c r="G42" s="495"/>
      <c r="H42" s="465" t="s">
        <v>322</v>
      </c>
      <c r="I42" s="465"/>
      <c r="J42" s="496"/>
      <c r="K42" s="496"/>
      <c r="L42" s="497"/>
      <c r="M42" s="497"/>
      <c r="N42" s="497"/>
      <c r="O42" s="497"/>
      <c r="P42" s="497"/>
      <c r="Q42" s="497"/>
      <c r="R42" s="497"/>
      <c r="S42" s="497"/>
      <c r="T42" s="497"/>
      <c r="U42" s="497"/>
      <c r="V42" s="497"/>
      <c r="W42" s="497"/>
      <c r="X42" s="497"/>
      <c r="Y42" s="497"/>
      <c r="Z42" s="497"/>
      <c r="AA42" s="497"/>
      <c r="AB42" s="497"/>
      <c r="AC42" s="497"/>
      <c r="AD42" s="497"/>
    </row>
    <row r="43" spans="2:30" outlineLevel="1">
      <c r="B43" s="435"/>
      <c r="C43" s="576" t="s">
        <v>215</v>
      </c>
      <c r="D43" s="465" t="s">
        <v>9</v>
      </c>
      <c r="E43" s="498">
        <v>200000</v>
      </c>
      <c r="G43" s="495"/>
      <c r="H43" s="465"/>
      <c r="I43" s="479" t="s">
        <v>210</v>
      </c>
      <c r="J43" s="496"/>
      <c r="K43" s="496"/>
      <c r="L43" s="497"/>
      <c r="M43" s="497"/>
      <c r="N43" s="497"/>
      <c r="O43" s="497"/>
      <c r="P43" s="497"/>
      <c r="Q43" s="497"/>
      <c r="R43" s="497"/>
      <c r="S43" s="497"/>
      <c r="T43" s="497"/>
      <c r="U43" s="497"/>
      <c r="V43" s="497"/>
      <c r="W43" s="497"/>
      <c r="X43" s="497"/>
      <c r="Y43" s="497"/>
      <c r="Z43" s="497"/>
      <c r="AA43" s="497"/>
      <c r="AB43" s="497"/>
      <c r="AC43" s="497"/>
      <c r="AD43" s="497"/>
    </row>
    <row r="44" spans="2:30" outlineLevel="1">
      <c r="B44" s="435"/>
      <c r="C44" s="577" t="s">
        <v>69</v>
      </c>
      <c r="D44" s="465" t="s">
        <v>71</v>
      </c>
      <c r="E44" s="503">
        <v>1.03</v>
      </c>
      <c r="G44" s="495"/>
      <c r="H44" s="465"/>
      <c r="I44" s="465"/>
      <c r="J44" s="496"/>
      <c r="K44" s="496"/>
      <c r="L44" s="497"/>
      <c r="M44" s="497"/>
      <c r="N44" s="497"/>
      <c r="O44" s="497"/>
      <c r="P44" s="497"/>
      <c r="Q44" s="497"/>
      <c r="R44" s="497"/>
      <c r="S44" s="497"/>
      <c r="T44" s="497"/>
      <c r="U44" s="497"/>
      <c r="V44" s="497"/>
      <c r="W44" s="497"/>
      <c r="X44" s="497"/>
      <c r="Y44" s="497"/>
      <c r="Z44" s="497"/>
      <c r="AA44" s="497"/>
      <c r="AB44" s="497"/>
      <c r="AC44" s="497"/>
      <c r="AD44" s="497"/>
    </row>
    <row r="45" spans="2:30" outlineLevel="1">
      <c r="B45" s="435"/>
      <c r="C45" s="577" t="s">
        <v>70</v>
      </c>
      <c r="D45" s="465" t="s">
        <v>72</v>
      </c>
      <c r="E45" s="501">
        <v>0</v>
      </c>
      <c r="G45" s="495"/>
      <c r="H45" s="476"/>
      <c r="I45" s="465"/>
      <c r="J45" s="496"/>
      <c r="K45" s="496"/>
      <c r="L45" s="497"/>
      <c r="M45" s="497"/>
      <c r="N45" s="497"/>
      <c r="O45" s="497"/>
      <c r="P45" s="497"/>
      <c r="Q45" s="497"/>
      <c r="R45" s="497"/>
      <c r="S45" s="497"/>
      <c r="T45" s="497"/>
      <c r="U45" s="497"/>
      <c r="V45" s="497"/>
      <c r="W45" s="497"/>
      <c r="X45" s="497"/>
      <c r="Y45" s="497"/>
      <c r="Z45" s="497"/>
      <c r="AA45" s="497"/>
      <c r="AB45" s="497"/>
      <c r="AC45" s="497"/>
      <c r="AD45" s="497"/>
    </row>
    <row r="46" spans="2:30" ht="31.5" outlineLevel="1">
      <c r="C46" s="577" t="s">
        <v>30</v>
      </c>
      <c r="D46" s="465" t="s">
        <v>84</v>
      </c>
      <c r="E46" s="500">
        <v>0.14000000000000001</v>
      </c>
      <c r="G46" s="495"/>
      <c r="H46" s="465" t="s">
        <v>322</v>
      </c>
      <c r="I46" s="465"/>
      <c r="J46" s="496"/>
      <c r="K46" s="496"/>
      <c r="L46" s="497"/>
      <c r="M46" s="497"/>
      <c r="N46" s="497"/>
      <c r="O46" s="497"/>
      <c r="P46" s="497"/>
      <c r="Q46" s="497"/>
      <c r="R46" s="497"/>
      <c r="S46" s="497"/>
      <c r="T46" s="497"/>
      <c r="U46" s="497"/>
      <c r="V46" s="497"/>
      <c r="W46" s="497"/>
      <c r="X46" s="497"/>
      <c r="Y46" s="497"/>
      <c r="Z46" s="497"/>
      <c r="AA46" s="497"/>
      <c r="AB46" s="497"/>
      <c r="AC46" s="497"/>
      <c r="AD46" s="497"/>
    </row>
    <row r="47" spans="2:30" outlineLevel="1">
      <c r="C47" s="576" t="s">
        <v>130</v>
      </c>
      <c r="D47" s="465" t="s">
        <v>9</v>
      </c>
      <c r="E47" s="498">
        <v>30000</v>
      </c>
      <c r="G47" s="495"/>
      <c r="H47" s="476"/>
      <c r="I47" s="478" t="s">
        <v>323</v>
      </c>
      <c r="J47" s="496"/>
      <c r="K47" s="496"/>
      <c r="L47" s="497"/>
      <c r="M47" s="497"/>
      <c r="N47" s="497"/>
      <c r="O47" s="497"/>
      <c r="P47" s="497"/>
      <c r="Q47" s="497"/>
      <c r="R47" s="497"/>
      <c r="S47" s="497"/>
      <c r="T47" s="497"/>
      <c r="U47" s="497"/>
      <c r="V47" s="497"/>
      <c r="W47" s="497"/>
      <c r="X47" s="497"/>
      <c r="Y47" s="497"/>
      <c r="Z47" s="497"/>
      <c r="AA47" s="497"/>
      <c r="AB47" s="497"/>
      <c r="AC47" s="497"/>
      <c r="AD47" s="497"/>
    </row>
    <row r="48" spans="2:30" outlineLevel="1">
      <c r="C48" s="577" t="s">
        <v>69</v>
      </c>
      <c r="D48" s="465" t="s">
        <v>71</v>
      </c>
      <c r="E48" s="501">
        <v>0</v>
      </c>
      <c r="G48" s="495"/>
      <c r="H48" s="476"/>
      <c r="I48" s="465"/>
      <c r="J48" s="496"/>
      <c r="K48" s="496"/>
      <c r="L48" s="497"/>
      <c r="M48" s="497"/>
      <c r="N48" s="497"/>
      <c r="O48" s="497"/>
      <c r="P48" s="497"/>
      <c r="Q48" s="497"/>
      <c r="R48" s="497"/>
      <c r="S48" s="497"/>
      <c r="T48" s="497"/>
      <c r="U48" s="497"/>
      <c r="V48" s="497"/>
      <c r="W48" s="497"/>
      <c r="X48" s="497"/>
      <c r="Y48" s="497"/>
      <c r="Z48" s="497"/>
      <c r="AA48" s="497"/>
      <c r="AB48" s="497"/>
      <c r="AC48" s="497"/>
      <c r="AD48" s="497"/>
    </row>
    <row r="49" spans="1:30" outlineLevel="1">
      <c r="C49" s="577" t="s">
        <v>70</v>
      </c>
      <c r="D49" s="465" t="s">
        <v>72</v>
      </c>
      <c r="E49" s="501">
        <v>0</v>
      </c>
      <c r="G49" s="495"/>
      <c r="H49" s="476"/>
      <c r="I49" s="465"/>
      <c r="J49" s="496"/>
      <c r="K49" s="496"/>
      <c r="L49" s="497"/>
      <c r="M49" s="497"/>
      <c r="N49" s="497"/>
      <c r="O49" s="497"/>
      <c r="P49" s="497"/>
      <c r="Q49" s="497"/>
      <c r="R49" s="497"/>
      <c r="S49" s="497"/>
      <c r="T49" s="497"/>
      <c r="U49" s="497"/>
      <c r="V49" s="497"/>
      <c r="W49" s="497"/>
      <c r="X49" s="497"/>
      <c r="Y49" s="497"/>
      <c r="Z49" s="497"/>
      <c r="AA49" s="497"/>
      <c r="AB49" s="497"/>
      <c r="AC49" s="497"/>
      <c r="AD49" s="497"/>
    </row>
    <row r="50" spans="1:30" ht="31.5" outlineLevel="1">
      <c r="C50" s="577" t="s">
        <v>30</v>
      </c>
      <c r="D50" s="465" t="s">
        <v>84</v>
      </c>
      <c r="E50" s="500">
        <v>0.14000000000000001</v>
      </c>
      <c r="G50" s="495"/>
      <c r="H50" s="465" t="s">
        <v>322</v>
      </c>
      <c r="I50" s="465"/>
      <c r="J50" s="496"/>
      <c r="K50" s="496"/>
      <c r="L50" s="497"/>
      <c r="M50" s="497"/>
      <c r="N50" s="497"/>
      <c r="O50" s="497"/>
      <c r="P50" s="497"/>
      <c r="Q50" s="497"/>
      <c r="R50" s="497"/>
      <c r="S50" s="497"/>
      <c r="T50" s="497"/>
      <c r="U50" s="497"/>
      <c r="V50" s="497"/>
      <c r="W50" s="497"/>
      <c r="X50" s="497"/>
      <c r="Y50" s="497"/>
      <c r="Z50" s="497"/>
      <c r="AA50" s="497"/>
      <c r="AB50" s="497"/>
      <c r="AC50" s="497"/>
      <c r="AD50" s="497"/>
    </row>
    <row r="51" spans="1:30" outlineLevel="1">
      <c r="A51" s="35"/>
      <c r="C51" s="576" t="s">
        <v>216</v>
      </c>
      <c r="D51" s="465" t="s">
        <v>9</v>
      </c>
      <c r="E51" s="498">
        <v>200000</v>
      </c>
      <c r="G51" s="495"/>
      <c r="H51" s="476"/>
      <c r="I51" s="479" t="s">
        <v>210</v>
      </c>
      <c r="J51" s="496"/>
      <c r="K51" s="496"/>
      <c r="L51" s="497"/>
      <c r="M51" s="497"/>
      <c r="N51" s="497"/>
      <c r="O51" s="497"/>
      <c r="P51" s="497"/>
      <c r="Q51" s="497"/>
      <c r="R51" s="497"/>
      <c r="S51" s="497"/>
      <c r="T51" s="497"/>
      <c r="U51" s="497"/>
      <c r="V51" s="497"/>
      <c r="W51" s="497"/>
      <c r="X51" s="497"/>
      <c r="Y51" s="497"/>
      <c r="Z51" s="497"/>
      <c r="AA51" s="497"/>
      <c r="AB51" s="497"/>
      <c r="AC51" s="497"/>
      <c r="AD51" s="497"/>
    </row>
    <row r="52" spans="1:30" outlineLevel="1">
      <c r="C52" s="577" t="s">
        <v>69</v>
      </c>
      <c r="D52" s="465" t="s">
        <v>71</v>
      </c>
      <c r="E52" s="499">
        <v>1.03</v>
      </c>
      <c r="G52" s="495"/>
      <c r="H52" s="476"/>
      <c r="I52" s="465"/>
      <c r="J52" s="496"/>
      <c r="K52" s="496"/>
      <c r="L52" s="497"/>
      <c r="M52" s="497"/>
      <c r="N52" s="497"/>
      <c r="O52" s="497"/>
      <c r="P52" s="497"/>
      <c r="Q52" s="497"/>
      <c r="R52" s="497"/>
      <c r="S52" s="497"/>
      <c r="T52" s="497"/>
      <c r="U52" s="497"/>
      <c r="V52" s="497"/>
      <c r="W52" s="497"/>
      <c r="X52" s="497"/>
      <c r="Y52" s="497"/>
      <c r="Z52" s="497"/>
      <c r="AA52" s="497"/>
      <c r="AB52" s="497"/>
      <c r="AC52" s="497"/>
      <c r="AD52" s="497"/>
    </row>
    <row r="53" spans="1:30" outlineLevel="1">
      <c r="C53" s="577" t="s">
        <v>70</v>
      </c>
      <c r="D53" s="465" t="s">
        <v>72</v>
      </c>
      <c r="E53" s="499">
        <v>0</v>
      </c>
      <c r="G53" s="495"/>
      <c r="H53" s="476"/>
      <c r="I53" s="465"/>
      <c r="J53" s="496"/>
      <c r="K53" s="496"/>
      <c r="L53" s="497"/>
      <c r="M53" s="497"/>
      <c r="N53" s="497"/>
      <c r="O53" s="497"/>
      <c r="P53" s="497"/>
      <c r="Q53" s="497"/>
      <c r="R53" s="497"/>
      <c r="S53" s="497"/>
      <c r="T53" s="497"/>
      <c r="U53" s="497"/>
      <c r="V53" s="497"/>
      <c r="W53" s="497"/>
      <c r="X53" s="497"/>
      <c r="Y53" s="497"/>
      <c r="Z53" s="497"/>
      <c r="AA53" s="497"/>
      <c r="AB53" s="497"/>
      <c r="AC53" s="497"/>
      <c r="AD53" s="497"/>
    </row>
    <row r="54" spans="1:30" ht="31.5" outlineLevel="1">
      <c r="C54" s="577" t="s">
        <v>30</v>
      </c>
      <c r="D54" s="465" t="s">
        <v>84</v>
      </c>
      <c r="E54" s="504">
        <v>0.14000000000000001</v>
      </c>
      <c r="F54" s="389"/>
      <c r="G54" s="495"/>
      <c r="H54" s="465" t="s">
        <v>322</v>
      </c>
      <c r="I54" s="465"/>
      <c r="J54" s="496"/>
      <c r="K54" s="496"/>
      <c r="L54" s="497"/>
      <c r="M54" s="497"/>
      <c r="N54" s="497"/>
      <c r="O54" s="497"/>
      <c r="P54" s="497"/>
      <c r="Q54" s="497"/>
      <c r="R54" s="497"/>
      <c r="S54" s="497"/>
      <c r="T54" s="497"/>
      <c r="U54" s="497"/>
      <c r="V54" s="497"/>
      <c r="W54" s="497"/>
      <c r="X54" s="497"/>
      <c r="Y54" s="497"/>
      <c r="Z54" s="497"/>
      <c r="AA54" s="497"/>
      <c r="AB54" s="497"/>
      <c r="AC54" s="497"/>
      <c r="AD54" s="497"/>
    </row>
    <row r="55" spans="1:30" outlineLevel="1">
      <c r="C55" s="576" t="s">
        <v>217</v>
      </c>
      <c r="D55" s="465" t="s">
        <v>9</v>
      </c>
      <c r="E55" s="498">
        <v>30000</v>
      </c>
      <c r="G55" s="495"/>
      <c r="H55" s="476"/>
      <c r="I55" s="465"/>
      <c r="J55" s="496"/>
      <c r="K55" s="496"/>
      <c r="L55" s="497"/>
      <c r="M55" s="497"/>
      <c r="N55" s="497"/>
      <c r="O55" s="497"/>
      <c r="P55" s="497"/>
      <c r="Q55" s="497"/>
      <c r="R55" s="497"/>
      <c r="S55" s="497"/>
      <c r="T55" s="497"/>
      <c r="U55" s="497"/>
      <c r="V55" s="497"/>
      <c r="W55" s="497"/>
      <c r="X55" s="497"/>
      <c r="Y55" s="497"/>
      <c r="Z55" s="497"/>
      <c r="AA55" s="497"/>
      <c r="AB55" s="497"/>
      <c r="AC55" s="497"/>
      <c r="AD55" s="497"/>
    </row>
    <row r="56" spans="1:30" outlineLevel="1">
      <c r="C56" s="577" t="s">
        <v>69</v>
      </c>
      <c r="D56" s="465" t="s">
        <v>71</v>
      </c>
      <c r="E56" s="499">
        <v>1</v>
      </c>
      <c r="G56" s="495"/>
      <c r="H56" s="476"/>
      <c r="I56" s="465"/>
      <c r="J56" s="496"/>
      <c r="K56" s="496"/>
      <c r="L56" s="497"/>
      <c r="M56" s="497"/>
      <c r="N56" s="497"/>
      <c r="O56" s="497"/>
      <c r="P56" s="497"/>
      <c r="Q56" s="497"/>
      <c r="R56" s="497"/>
      <c r="S56" s="497"/>
      <c r="T56" s="497"/>
      <c r="U56" s="497"/>
      <c r="V56" s="497"/>
      <c r="W56" s="497"/>
      <c r="X56" s="497"/>
      <c r="Y56" s="497"/>
      <c r="Z56" s="497"/>
      <c r="AA56" s="497"/>
      <c r="AB56" s="497"/>
      <c r="AC56" s="497"/>
      <c r="AD56" s="497"/>
    </row>
    <row r="57" spans="1:30" outlineLevel="1">
      <c r="C57" s="577" t="s">
        <v>70</v>
      </c>
      <c r="D57" s="465" t="s">
        <v>72</v>
      </c>
      <c r="E57" s="499">
        <v>0</v>
      </c>
      <c r="G57" s="495"/>
      <c r="H57" s="476"/>
      <c r="I57" s="465"/>
      <c r="J57" s="496"/>
      <c r="K57" s="496"/>
      <c r="L57" s="497"/>
      <c r="M57" s="497"/>
      <c r="N57" s="497"/>
      <c r="O57" s="497"/>
      <c r="P57" s="497"/>
      <c r="Q57" s="497"/>
      <c r="R57" s="497"/>
      <c r="S57" s="497"/>
      <c r="T57" s="497"/>
      <c r="U57" s="497"/>
      <c r="V57" s="497"/>
      <c r="W57" s="497"/>
      <c r="X57" s="497"/>
      <c r="Y57" s="497"/>
      <c r="Z57" s="497"/>
      <c r="AA57" s="497"/>
      <c r="AB57" s="497"/>
      <c r="AC57" s="497"/>
      <c r="AD57" s="497"/>
    </row>
    <row r="58" spans="1:30" ht="31.5" outlineLevel="1">
      <c r="C58" s="577" t="s">
        <v>30</v>
      </c>
      <c r="D58" s="465" t="s">
        <v>84</v>
      </c>
      <c r="E58" s="504">
        <v>0.14000000000000001</v>
      </c>
      <c r="F58" s="389"/>
      <c r="G58" s="495"/>
      <c r="H58" s="465" t="s">
        <v>322</v>
      </c>
      <c r="I58" s="465"/>
      <c r="J58" s="496"/>
      <c r="K58" s="496"/>
      <c r="L58" s="497"/>
      <c r="M58" s="497"/>
      <c r="N58" s="497"/>
      <c r="O58" s="497"/>
      <c r="P58" s="497"/>
      <c r="Q58" s="497"/>
      <c r="R58" s="497"/>
      <c r="S58" s="497"/>
      <c r="T58" s="497"/>
      <c r="U58" s="497"/>
      <c r="V58" s="497"/>
      <c r="W58" s="497"/>
      <c r="X58" s="497"/>
      <c r="Y58" s="497"/>
      <c r="Z58" s="497"/>
      <c r="AA58" s="497"/>
      <c r="AB58" s="497"/>
      <c r="AC58" s="497"/>
      <c r="AD58" s="497"/>
    </row>
    <row r="59" spans="1:30">
      <c r="A59" s="35" t="s">
        <v>128</v>
      </c>
      <c r="C59" s="576"/>
      <c r="D59" s="465"/>
      <c r="E59" s="44"/>
      <c r="G59" s="495"/>
      <c r="H59" s="476"/>
      <c r="I59" s="465"/>
      <c r="J59" s="496"/>
      <c r="K59" s="496"/>
      <c r="L59" s="497"/>
      <c r="M59" s="497"/>
      <c r="N59" s="497"/>
      <c r="O59" s="497"/>
      <c r="P59" s="497"/>
      <c r="Q59" s="497"/>
      <c r="R59" s="497"/>
      <c r="S59" s="497"/>
      <c r="T59" s="497"/>
      <c r="U59" s="497"/>
      <c r="V59" s="497"/>
      <c r="W59" s="497"/>
      <c r="X59" s="497"/>
      <c r="Y59" s="497"/>
      <c r="Z59" s="497"/>
      <c r="AA59" s="497"/>
      <c r="AB59" s="497"/>
      <c r="AC59" s="497"/>
      <c r="AD59" s="497"/>
    </row>
    <row r="60" spans="1:30" ht="31.5" outlineLevel="1">
      <c r="A60" s="35"/>
      <c r="C60" s="576" t="s">
        <v>218</v>
      </c>
      <c r="D60" s="465" t="s">
        <v>9</v>
      </c>
      <c r="E60" s="498">
        <v>600000</v>
      </c>
      <c r="G60" s="495"/>
      <c r="H60" s="465"/>
      <c r="I60" s="478" t="s">
        <v>165</v>
      </c>
      <c r="J60" s="496"/>
      <c r="K60" s="496"/>
      <c r="L60" s="497"/>
      <c r="M60" s="497"/>
      <c r="N60" s="497"/>
      <c r="O60" s="497"/>
      <c r="P60" s="497"/>
      <c r="Q60" s="497"/>
      <c r="R60" s="497"/>
      <c r="S60" s="497"/>
      <c r="T60" s="497"/>
      <c r="U60" s="497"/>
      <c r="V60" s="497"/>
      <c r="W60" s="497"/>
      <c r="X60" s="497"/>
      <c r="Y60" s="497"/>
      <c r="Z60" s="497"/>
      <c r="AA60" s="497"/>
      <c r="AB60" s="497"/>
      <c r="AC60" s="497"/>
      <c r="AD60" s="497"/>
    </row>
    <row r="61" spans="1:30" outlineLevel="1">
      <c r="C61" s="577" t="s">
        <v>69</v>
      </c>
      <c r="D61" s="465" t="s">
        <v>71</v>
      </c>
      <c r="E61" s="499">
        <v>20</v>
      </c>
      <c r="G61" s="495"/>
      <c r="H61" s="465"/>
      <c r="I61" s="465"/>
      <c r="J61" s="496"/>
      <c r="K61" s="496"/>
      <c r="L61" s="497"/>
      <c r="M61" s="497"/>
      <c r="N61" s="497"/>
      <c r="O61" s="497"/>
      <c r="P61" s="497"/>
      <c r="Q61" s="497"/>
      <c r="R61" s="497"/>
      <c r="S61" s="497"/>
      <c r="T61" s="497"/>
      <c r="U61" s="497"/>
      <c r="V61" s="497"/>
      <c r="W61" s="497"/>
      <c r="X61" s="497"/>
      <c r="Y61" s="497"/>
      <c r="Z61" s="497"/>
      <c r="AA61" s="497"/>
      <c r="AB61" s="497"/>
      <c r="AC61" s="497"/>
      <c r="AD61" s="497"/>
    </row>
    <row r="62" spans="1:30" ht="31.5" outlineLevel="1">
      <c r="C62" s="577" t="s">
        <v>30</v>
      </c>
      <c r="D62" s="465" t="s">
        <v>84</v>
      </c>
      <c r="E62" s="505">
        <v>0.14000000000000001</v>
      </c>
      <c r="G62" s="495"/>
      <c r="H62" s="465" t="s">
        <v>322</v>
      </c>
      <c r="I62" s="465"/>
      <c r="J62" s="496"/>
      <c r="K62" s="496"/>
      <c r="L62" s="497"/>
      <c r="M62" s="497"/>
      <c r="N62" s="497"/>
      <c r="O62" s="497"/>
      <c r="P62" s="497"/>
      <c r="Q62" s="497"/>
      <c r="R62" s="497"/>
      <c r="S62" s="497"/>
      <c r="T62" s="497"/>
      <c r="U62" s="497"/>
      <c r="V62" s="497"/>
      <c r="W62" s="497"/>
      <c r="X62" s="497"/>
      <c r="Y62" s="497"/>
      <c r="Z62" s="497"/>
      <c r="AA62" s="497"/>
      <c r="AB62" s="497"/>
      <c r="AC62" s="497"/>
      <c r="AD62" s="497"/>
    </row>
    <row r="63" spans="1:30" ht="31.5" outlineLevel="1">
      <c r="C63" s="576" t="s">
        <v>74</v>
      </c>
      <c r="D63" s="465" t="s">
        <v>9</v>
      </c>
      <c r="E63" s="498">
        <v>100000</v>
      </c>
      <c r="G63" s="495"/>
      <c r="H63" s="465"/>
      <c r="I63" s="478" t="s">
        <v>209</v>
      </c>
      <c r="J63" s="496"/>
      <c r="K63" s="496"/>
      <c r="L63" s="497"/>
      <c r="M63" s="497"/>
      <c r="N63" s="497"/>
      <c r="O63" s="497"/>
      <c r="P63" s="497"/>
      <c r="Q63" s="497"/>
      <c r="R63" s="497"/>
      <c r="S63" s="497"/>
      <c r="T63" s="497"/>
      <c r="U63" s="497"/>
      <c r="V63" s="497"/>
      <c r="W63" s="497"/>
      <c r="X63" s="497"/>
      <c r="Y63" s="497"/>
      <c r="Z63" s="497"/>
      <c r="AA63" s="497"/>
      <c r="AB63" s="497"/>
      <c r="AC63" s="497"/>
      <c r="AD63" s="497"/>
    </row>
    <row r="64" spans="1:30" outlineLevel="1">
      <c r="C64" s="577" t="s">
        <v>69</v>
      </c>
      <c r="D64" s="465" t="s">
        <v>71</v>
      </c>
      <c r="E64" s="502">
        <v>4.9000000000000004</v>
      </c>
      <c r="G64" s="495"/>
      <c r="H64" s="465"/>
      <c r="I64" s="478"/>
      <c r="J64" s="496"/>
      <c r="K64" s="496"/>
      <c r="L64" s="497"/>
      <c r="M64" s="497"/>
      <c r="N64" s="497"/>
      <c r="O64" s="497"/>
      <c r="P64" s="497"/>
      <c r="Q64" s="497"/>
      <c r="R64" s="497"/>
      <c r="S64" s="497"/>
      <c r="T64" s="497"/>
      <c r="U64" s="497"/>
      <c r="V64" s="497"/>
      <c r="W64" s="497"/>
      <c r="X64" s="497"/>
      <c r="Y64" s="497"/>
      <c r="Z64" s="497"/>
      <c r="AA64" s="497"/>
      <c r="AB64" s="497"/>
      <c r="AC64" s="497"/>
      <c r="AD64" s="497"/>
    </row>
    <row r="65" spans="1:30" outlineLevel="1">
      <c r="C65" s="577" t="s">
        <v>70</v>
      </c>
      <c r="D65" s="465" t="s">
        <v>72</v>
      </c>
      <c r="E65" s="501">
        <v>0</v>
      </c>
      <c r="G65" s="495"/>
      <c r="H65" s="465"/>
      <c r="I65" s="465"/>
      <c r="J65" s="496"/>
      <c r="K65" s="496"/>
      <c r="L65" s="497"/>
      <c r="M65" s="497"/>
      <c r="N65" s="497"/>
      <c r="O65" s="497"/>
      <c r="P65" s="497"/>
      <c r="Q65" s="497"/>
      <c r="R65" s="497"/>
      <c r="S65" s="497"/>
      <c r="T65" s="497"/>
      <c r="U65" s="497"/>
      <c r="V65" s="497"/>
      <c r="W65" s="497"/>
      <c r="X65" s="497"/>
      <c r="Y65" s="497"/>
      <c r="Z65" s="497"/>
      <c r="AA65" s="497"/>
      <c r="AB65" s="497"/>
      <c r="AC65" s="497"/>
      <c r="AD65" s="497"/>
    </row>
    <row r="66" spans="1:30" ht="31.5" outlineLevel="1">
      <c r="C66" s="577" t="s">
        <v>30</v>
      </c>
      <c r="D66" s="465" t="s">
        <v>84</v>
      </c>
      <c r="E66" s="500">
        <v>0.14000000000000001</v>
      </c>
      <c r="G66" s="495"/>
      <c r="H66" s="465" t="s">
        <v>322</v>
      </c>
      <c r="I66" s="465"/>
      <c r="J66" s="496"/>
      <c r="K66" s="496"/>
      <c r="L66" s="497"/>
      <c r="M66" s="497"/>
      <c r="N66" s="497"/>
      <c r="O66" s="497"/>
      <c r="P66" s="497"/>
      <c r="Q66" s="497"/>
      <c r="R66" s="497"/>
      <c r="S66" s="497"/>
      <c r="T66" s="497"/>
      <c r="U66" s="497"/>
      <c r="V66" s="497"/>
      <c r="W66" s="497"/>
      <c r="X66" s="497"/>
      <c r="Y66" s="497"/>
      <c r="Z66" s="497"/>
      <c r="AA66" s="497"/>
      <c r="AB66" s="497"/>
      <c r="AC66" s="497"/>
      <c r="AD66" s="497"/>
    </row>
    <row r="67" spans="1:30" outlineLevel="1">
      <c r="C67" s="576" t="s">
        <v>127</v>
      </c>
      <c r="D67" s="465" t="s">
        <v>9</v>
      </c>
      <c r="E67" s="498">
        <v>30000</v>
      </c>
      <c r="G67" s="495"/>
      <c r="H67" s="465"/>
      <c r="I67" s="478" t="s">
        <v>323</v>
      </c>
      <c r="J67" s="496"/>
      <c r="K67" s="496"/>
      <c r="L67" s="497"/>
      <c r="M67" s="497"/>
      <c r="N67" s="497"/>
      <c r="O67" s="497"/>
      <c r="P67" s="497"/>
      <c r="Q67" s="497"/>
      <c r="R67" s="497"/>
      <c r="S67" s="497"/>
      <c r="T67" s="497"/>
      <c r="U67" s="497"/>
      <c r="V67" s="497"/>
      <c r="W67" s="497"/>
      <c r="X67" s="497"/>
      <c r="Y67" s="497"/>
      <c r="Z67" s="497"/>
      <c r="AA67" s="497"/>
      <c r="AB67" s="497"/>
      <c r="AC67" s="497"/>
      <c r="AD67" s="497"/>
    </row>
    <row r="68" spans="1:30" outlineLevel="1">
      <c r="C68" s="577" t="s">
        <v>69</v>
      </c>
      <c r="D68" s="465" t="s">
        <v>71</v>
      </c>
      <c r="E68" s="501">
        <v>0</v>
      </c>
      <c r="G68" s="495"/>
      <c r="H68" s="465"/>
      <c r="I68" s="465"/>
      <c r="J68" s="496"/>
      <c r="K68" s="496"/>
      <c r="L68" s="497"/>
      <c r="M68" s="497"/>
      <c r="N68" s="497"/>
      <c r="O68" s="497"/>
      <c r="P68" s="497"/>
      <c r="Q68" s="497"/>
      <c r="R68" s="497"/>
      <c r="S68" s="497"/>
      <c r="T68" s="497"/>
      <c r="U68" s="497"/>
      <c r="V68" s="497"/>
      <c r="W68" s="497"/>
      <c r="X68" s="497"/>
      <c r="Y68" s="497"/>
      <c r="Z68" s="497"/>
      <c r="AA68" s="497"/>
      <c r="AB68" s="497"/>
      <c r="AC68" s="497"/>
      <c r="AD68" s="497"/>
    </row>
    <row r="69" spans="1:30" outlineLevel="1">
      <c r="C69" s="577" t="s">
        <v>70</v>
      </c>
      <c r="D69" s="465" t="s">
        <v>72</v>
      </c>
      <c r="E69" s="501">
        <v>0</v>
      </c>
      <c r="G69" s="495"/>
      <c r="H69" s="465"/>
      <c r="I69" s="465"/>
      <c r="J69" s="496"/>
      <c r="K69" s="496"/>
      <c r="L69" s="497"/>
      <c r="M69" s="497"/>
      <c r="N69" s="497"/>
      <c r="O69" s="497"/>
      <c r="P69" s="497"/>
      <c r="Q69" s="497"/>
      <c r="R69" s="497"/>
      <c r="S69" s="497"/>
      <c r="T69" s="497"/>
      <c r="U69" s="497"/>
      <c r="V69" s="497"/>
      <c r="W69" s="497"/>
      <c r="X69" s="497"/>
      <c r="Y69" s="497"/>
      <c r="Z69" s="497"/>
      <c r="AA69" s="497"/>
      <c r="AB69" s="497"/>
      <c r="AC69" s="497"/>
      <c r="AD69" s="497"/>
    </row>
    <row r="70" spans="1:30" ht="31.5" outlineLevel="1">
      <c r="C70" s="577" t="s">
        <v>30</v>
      </c>
      <c r="D70" s="465" t="s">
        <v>18</v>
      </c>
      <c r="E70" s="500">
        <v>0.14000000000000001</v>
      </c>
      <c r="G70" s="495"/>
      <c r="H70" s="465" t="s">
        <v>322</v>
      </c>
      <c r="I70" s="465"/>
      <c r="J70" s="496"/>
      <c r="K70" s="496"/>
      <c r="L70" s="497"/>
      <c r="M70" s="497"/>
      <c r="N70" s="497"/>
      <c r="O70" s="497"/>
      <c r="P70" s="497"/>
      <c r="Q70" s="497"/>
      <c r="R70" s="497"/>
      <c r="S70" s="497"/>
      <c r="T70" s="497"/>
      <c r="U70" s="497"/>
      <c r="V70" s="497"/>
      <c r="W70" s="497"/>
      <c r="X70" s="497"/>
      <c r="Y70" s="497"/>
      <c r="Z70" s="497"/>
      <c r="AA70" s="497"/>
      <c r="AB70" s="497"/>
      <c r="AC70" s="497"/>
      <c r="AD70" s="497"/>
    </row>
    <row r="71" spans="1:30" outlineLevel="1">
      <c r="B71" s="435"/>
      <c r="C71" s="576" t="s">
        <v>75</v>
      </c>
      <c r="D71" s="465" t="s">
        <v>9</v>
      </c>
      <c r="E71" s="498">
        <v>200000</v>
      </c>
      <c r="G71" s="495"/>
      <c r="H71" s="465"/>
      <c r="I71" s="526" t="s">
        <v>333</v>
      </c>
      <c r="J71" s="496"/>
      <c r="K71" s="496"/>
      <c r="L71" s="497"/>
      <c r="M71" s="497"/>
      <c r="N71" s="497"/>
      <c r="O71" s="497"/>
      <c r="P71" s="497"/>
      <c r="Q71" s="497"/>
      <c r="R71" s="497"/>
      <c r="S71" s="497"/>
      <c r="T71" s="497"/>
      <c r="U71" s="497"/>
      <c r="V71" s="497"/>
      <c r="W71" s="497"/>
      <c r="X71" s="497"/>
      <c r="Y71" s="497"/>
      <c r="Z71" s="497"/>
      <c r="AA71" s="497"/>
      <c r="AB71" s="497"/>
      <c r="AC71" s="497"/>
      <c r="AD71" s="497"/>
    </row>
    <row r="72" spans="1:30" outlineLevel="1">
      <c r="B72" s="435"/>
      <c r="C72" s="577" t="s">
        <v>69</v>
      </c>
      <c r="D72" s="465" t="s">
        <v>71</v>
      </c>
      <c r="E72" s="503">
        <v>4.4000000000000004</v>
      </c>
      <c r="G72" s="495"/>
      <c r="H72" s="465"/>
      <c r="I72" s="465"/>
      <c r="J72" s="496"/>
      <c r="K72" s="496"/>
      <c r="L72" s="497"/>
      <c r="M72" s="497"/>
      <c r="N72" s="497"/>
      <c r="O72" s="497"/>
      <c r="P72" s="497"/>
      <c r="Q72" s="497"/>
      <c r="R72" s="497"/>
      <c r="S72" s="497"/>
      <c r="T72" s="497"/>
      <c r="U72" s="497"/>
      <c r="V72" s="497"/>
      <c r="W72" s="497"/>
      <c r="X72" s="497"/>
      <c r="Y72" s="497"/>
      <c r="Z72" s="497"/>
      <c r="AA72" s="497"/>
      <c r="AB72" s="497"/>
      <c r="AC72" s="497"/>
      <c r="AD72" s="497"/>
    </row>
    <row r="73" spans="1:30" outlineLevel="1">
      <c r="B73" s="435"/>
      <c r="C73" s="577" t="s">
        <v>70</v>
      </c>
      <c r="D73" s="465" t="s">
        <v>72</v>
      </c>
      <c r="E73" s="501">
        <v>0</v>
      </c>
      <c r="G73" s="495"/>
      <c r="H73" s="465"/>
      <c r="I73" s="465"/>
      <c r="J73" s="496"/>
      <c r="K73" s="496"/>
      <c r="L73" s="497"/>
      <c r="M73" s="497"/>
      <c r="N73" s="497"/>
      <c r="O73" s="497"/>
      <c r="P73" s="497"/>
      <c r="Q73" s="497"/>
      <c r="R73" s="497"/>
      <c r="S73" s="497"/>
      <c r="T73" s="497"/>
      <c r="U73" s="497"/>
      <c r="V73" s="497"/>
      <c r="W73" s="497"/>
      <c r="X73" s="497"/>
      <c r="Y73" s="497"/>
      <c r="Z73" s="497"/>
      <c r="AA73" s="497"/>
      <c r="AB73" s="497"/>
      <c r="AC73" s="497"/>
      <c r="AD73" s="497"/>
    </row>
    <row r="74" spans="1:30" ht="31.5" outlineLevel="1">
      <c r="C74" s="577" t="s">
        <v>30</v>
      </c>
      <c r="D74" s="465" t="s">
        <v>84</v>
      </c>
      <c r="E74" s="500">
        <v>0.14000000000000001</v>
      </c>
      <c r="G74" s="495"/>
      <c r="H74" s="465" t="s">
        <v>322</v>
      </c>
      <c r="I74" s="465"/>
      <c r="J74" s="496"/>
      <c r="K74" s="496"/>
      <c r="L74" s="497"/>
      <c r="M74" s="497"/>
      <c r="N74" s="497"/>
      <c r="O74" s="497"/>
      <c r="P74" s="497"/>
      <c r="Q74" s="497"/>
      <c r="R74" s="497"/>
      <c r="S74" s="497"/>
      <c r="T74" s="497"/>
      <c r="U74" s="497"/>
      <c r="V74" s="497"/>
      <c r="W74" s="497"/>
      <c r="X74" s="497"/>
      <c r="Y74" s="497"/>
      <c r="Z74" s="497"/>
      <c r="AA74" s="497"/>
      <c r="AB74" s="497"/>
      <c r="AC74" s="497"/>
      <c r="AD74" s="497"/>
    </row>
    <row r="75" spans="1:30" outlineLevel="1">
      <c r="C75" s="576" t="s">
        <v>129</v>
      </c>
      <c r="D75" s="465" t="s">
        <v>9</v>
      </c>
      <c r="E75" s="568">
        <v>200000</v>
      </c>
      <c r="G75" s="495"/>
      <c r="H75" s="476" t="s">
        <v>221</v>
      </c>
      <c r="I75" s="465"/>
      <c r="J75" s="496"/>
      <c r="K75" s="496"/>
      <c r="L75" s="497"/>
      <c r="M75" s="497"/>
      <c r="N75" s="497"/>
      <c r="O75" s="497"/>
      <c r="P75" s="497"/>
      <c r="Q75" s="497"/>
      <c r="R75" s="497"/>
      <c r="S75" s="497"/>
      <c r="T75" s="497"/>
      <c r="U75" s="497"/>
      <c r="V75" s="497"/>
      <c r="W75" s="497"/>
      <c r="X75" s="497"/>
      <c r="Y75" s="497"/>
      <c r="Z75" s="497"/>
      <c r="AA75" s="497"/>
      <c r="AB75" s="497"/>
      <c r="AC75" s="497"/>
      <c r="AD75" s="497"/>
    </row>
    <row r="76" spans="1:30" outlineLevel="1">
      <c r="C76" s="577" t="s">
        <v>69</v>
      </c>
      <c r="D76" s="465" t="s">
        <v>71</v>
      </c>
      <c r="E76" s="569">
        <v>3.4</v>
      </c>
      <c r="G76" s="495"/>
      <c r="H76" s="476"/>
      <c r="I76" s="465"/>
      <c r="J76" s="496"/>
      <c r="K76" s="496"/>
      <c r="L76" s="497"/>
      <c r="M76" s="497"/>
      <c r="N76" s="497"/>
      <c r="O76" s="497"/>
      <c r="P76" s="497"/>
      <c r="Q76" s="497"/>
      <c r="R76" s="497"/>
      <c r="S76" s="497"/>
      <c r="T76" s="497"/>
      <c r="U76" s="497"/>
      <c r="V76" s="497"/>
      <c r="W76" s="497"/>
      <c r="X76" s="497"/>
      <c r="Y76" s="497"/>
      <c r="Z76" s="497"/>
      <c r="AA76" s="497"/>
      <c r="AB76" s="497"/>
      <c r="AC76" s="497"/>
      <c r="AD76" s="497"/>
    </row>
    <row r="77" spans="1:30" outlineLevel="1">
      <c r="C77" s="577" t="s">
        <v>70</v>
      </c>
      <c r="D77" s="465" t="s">
        <v>72</v>
      </c>
      <c r="E77" s="569">
        <v>0</v>
      </c>
      <c r="G77" s="495"/>
      <c r="H77" s="476"/>
      <c r="I77" s="465"/>
      <c r="J77" s="496"/>
      <c r="K77" s="496"/>
      <c r="L77" s="497"/>
      <c r="M77" s="497"/>
      <c r="N77" s="497"/>
      <c r="O77" s="497"/>
      <c r="P77" s="497"/>
      <c r="Q77" s="497"/>
      <c r="R77" s="497"/>
      <c r="S77" s="497"/>
      <c r="T77" s="497"/>
      <c r="U77" s="497"/>
      <c r="V77" s="497"/>
      <c r="W77" s="497"/>
      <c r="X77" s="497"/>
      <c r="Y77" s="497"/>
      <c r="Z77" s="497"/>
      <c r="AA77" s="497"/>
      <c r="AB77" s="497"/>
      <c r="AC77" s="497"/>
      <c r="AD77" s="497"/>
    </row>
    <row r="78" spans="1:30" ht="31.5" outlineLevel="1">
      <c r="C78" s="577" t="s">
        <v>30</v>
      </c>
      <c r="D78" s="465" t="s">
        <v>84</v>
      </c>
      <c r="E78" s="570">
        <v>0.14000000000000001</v>
      </c>
      <c r="G78" s="495"/>
      <c r="H78" s="465" t="s">
        <v>322</v>
      </c>
      <c r="I78" s="465"/>
      <c r="J78" s="496"/>
      <c r="K78" s="496"/>
      <c r="L78" s="497"/>
      <c r="M78" s="497"/>
      <c r="N78" s="497"/>
      <c r="O78" s="497"/>
      <c r="P78" s="497"/>
      <c r="Q78" s="497"/>
      <c r="R78" s="497"/>
      <c r="S78" s="497"/>
      <c r="T78" s="497"/>
      <c r="U78" s="497"/>
      <c r="V78" s="497"/>
      <c r="W78" s="497"/>
      <c r="X78" s="497"/>
      <c r="Y78" s="497"/>
      <c r="Z78" s="497"/>
      <c r="AA78" s="497"/>
      <c r="AB78" s="497"/>
      <c r="AC78" s="497"/>
      <c r="AD78" s="497"/>
    </row>
    <row r="79" spans="1:30" ht="31.5" outlineLevel="1">
      <c r="A79" s="35"/>
      <c r="C79" s="576" t="s">
        <v>219</v>
      </c>
      <c r="D79" s="465" t="s">
        <v>9</v>
      </c>
      <c r="E79" s="571">
        <v>1000000</v>
      </c>
      <c r="G79" s="495"/>
      <c r="H79" s="476"/>
      <c r="I79" s="478" t="s">
        <v>211</v>
      </c>
      <c r="J79" s="496"/>
      <c r="K79" s="496"/>
      <c r="L79" s="497"/>
      <c r="M79" s="497"/>
      <c r="N79" s="497"/>
      <c r="O79" s="497"/>
      <c r="P79" s="497"/>
      <c r="Q79" s="497"/>
      <c r="R79" s="497"/>
      <c r="S79" s="497"/>
      <c r="T79" s="497"/>
      <c r="U79" s="497"/>
      <c r="V79" s="497"/>
      <c r="W79" s="497"/>
      <c r="X79" s="497"/>
      <c r="Y79" s="497"/>
      <c r="Z79" s="497"/>
      <c r="AA79" s="497"/>
      <c r="AB79" s="497"/>
      <c r="AC79" s="497"/>
      <c r="AD79" s="497"/>
    </row>
    <row r="80" spans="1:30" outlineLevel="1">
      <c r="C80" s="577" t="s">
        <v>69</v>
      </c>
      <c r="D80" s="465" t="s">
        <v>71</v>
      </c>
      <c r="E80" s="569">
        <v>4.8</v>
      </c>
      <c r="G80" s="495"/>
      <c r="H80" s="476"/>
      <c r="I80" s="465"/>
      <c r="J80" s="496"/>
      <c r="K80" s="496"/>
      <c r="L80" s="497"/>
      <c r="M80" s="497"/>
      <c r="N80" s="497"/>
      <c r="O80" s="497"/>
      <c r="P80" s="497"/>
      <c r="Q80" s="497"/>
      <c r="R80" s="497"/>
      <c r="S80" s="497"/>
      <c r="T80" s="497"/>
      <c r="U80" s="497"/>
      <c r="V80" s="497"/>
      <c r="W80" s="497"/>
      <c r="X80" s="497"/>
      <c r="Y80" s="497"/>
      <c r="Z80" s="497"/>
      <c r="AA80" s="497"/>
      <c r="AB80" s="497"/>
      <c r="AC80" s="497"/>
      <c r="AD80" s="497"/>
    </row>
    <row r="81" spans="2:30" outlineLevel="1">
      <c r="C81" s="577" t="s">
        <v>70</v>
      </c>
      <c r="D81" s="465" t="s">
        <v>72</v>
      </c>
      <c r="E81" s="569">
        <v>0</v>
      </c>
      <c r="G81" s="495"/>
      <c r="H81" s="476"/>
      <c r="I81" s="465"/>
      <c r="J81" s="496"/>
      <c r="K81" s="496"/>
      <c r="L81" s="497"/>
      <c r="M81" s="497"/>
      <c r="N81" s="497"/>
      <c r="O81" s="497"/>
      <c r="P81" s="497"/>
      <c r="Q81" s="497"/>
      <c r="R81" s="497"/>
      <c r="S81" s="497"/>
      <c r="T81" s="497"/>
      <c r="U81" s="497"/>
      <c r="V81" s="497"/>
      <c r="W81" s="497"/>
      <c r="X81" s="497"/>
      <c r="Y81" s="497"/>
      <c r="Z81" s="497"/>
      <c r="AA81" s="497"/>
      <c r="AB81" s="497"/>
      <c r="AC81" s="497"/>
      <c r="AD81" s="497"/>
    </row>
    <row r="82" spans="2:30" ht="31.5" outlineLevel="1">
      <c r="C82" s="577" t="s">
        <v>30</v>
      </c>
      <c r="D82" s="465" t="s">
        <v>18</v>
      </c>
      <c r="E82" s="572">
        <v>0.14000000000000001</v>
      </c>
      <c r="F82" s="506"/>
      <c r="G82" s="495"/>
      <c r="H82" s="465" t="s">
        <v>322</v>
      </c>
      <c r="I82" s="465"/>
      <c r="J82" s="496"/>
      <c r="K82" s="496"/>
      <c r="L82" s="497"/>
      <c r="M82" s="497"/>
      <c r="N82" s="497"/>
      <c r="O82" s="497"/>
      <c r="P82" s="497"/>
      <c r="Q82" s="497"/>
      <c r="R82" s="497"/>
      <c r="S82" s="497"/>
      <c r="T82" s="497"/>
      <c r="U82" s="497"/>
      <c r="V82" s="497"/>
      <c r="W82" s="497"/>
      <c r="X82" s="497"/>
      <c r="Y82" s="497"/>
      <c r="Z82" s="497"/>
      <c r="AA82" s="497"/>
      <c r="AB82" s="497"/>
      <c r="AC82" s="497"/>
      <c r="AD82" s="497"/>
    </row>
    <row r="83" spans="2:30" outlineLevel="1">
      <c r="C83" s="576" t="s">
        <v>201</v>
      </c>
      <c r="D83" s="465" t="s">
        <v>9</v>
      </c>
      <c r="E83" s="571">
        <v>30000</v>
      </c>
      <c r="G83" s="495"/>
      <c r="H83" s="476"/>
      <c r="I83" s="465"/>
      <c r="J83" s="496"/>
      <c r="K83" s="496"/>
      <c r="L83" s="497"/>
      <c r="M83" s="497"/>
      <c r="N83" s="497"/>
      <c r="O83" s="497"/>
      <c r="P83" s="497"/>
      <c r="Q83" s="497"/>
      <c r="R83" s="497"/>
      <c r="S83" s="497"/>
      <c r="T83" s="497"/>
      <c r="U83" s="497"/>
      <c r="V83" s="497"/>
      <c r="W83" s="497"/>
      <c r="X83" s="497"/>
      <c r="Y83" s="497"/>
      <c r="Z83" s="497"/>
      <c r="AA83" s="497"/>
      <c r="AB83" s="497"/>
      <c r="AC83" s="497"/>
      <c r="AD83" s="497"/>
    </row>
    <row r="84" spans="2:30" outlineLevel="1">
      <c r="C84" s="577" t="s">
        <v>69</v>
      </c>
      <c r="D84" s="465" t="s">
        <v>71</v>
      </c>
      <c r="E84" s="569">
        <v>1</v>
      </c>
      <c r="G84" s="495"/>
      <c r="H84" s="476"/>
      <c r="I84" s="465"/>
      <c r="J84" s="496"/>
      <c r="K84" s="496"/>
      <c r="L84" s="497"/>
      <c r="M84" s="497"/>
      <c r="N84" s="497"/>
      <c r="O84" s="497"/>
      <c r="P84" s="497"/>
      <c r="Q84" s="497"/>
      <c r="R84" s="497"/>
      <c r="S84" s="497"/>
      <c r="T84" s="497"/>
      <c r="U84" s="497"/>
      <c r="V84" s="497"/>
      <c r="W84" s="497"/>
      <c r="X84" s="497"/>
      <c r="Y84" s="497"/>
      <c r="Z84" s="497"/>
      <c r="AA84" s="497"/>
      <c r="AB84" s="497"/>
      <c r="AC84" s="497"/>
      <c r="AD84" s="497"/>
    </row>
    <row r="85" spans="2:30" outlineLevel="1">
      <c r="C85" s="577" t="s">
        <v>70</v>
      </c>
      <c r="D85" s="465" t="s">
        <v>72</v>
      </c>
      <c r="E85" s="569">
        <v>0</v>
      </c>
      <c r="G85" s="495"/>
      <c r="H85" s="476"/>
      <c r="I85" s="465"/>
      <c r="J85" s="496"/>
      <c r="K85" s="496"/>
      <c r="L85" s="497"/>
      <c r="M85" s="497"/>
      <c r="N85" s="497"/>
      <c r="O85" s="497"/>
      <c r="P85" s="497"/>
      <c r="Q85" s="497"/>
      <c r="R85" s="497"/>
      <c r="S85" s="497"/>
      <c r="T85" s="497"/>
      <c r="U85" s="497"/>
      <c r="V85" s="497"/>
      <c r="W85" s="497"/>
      <c r="X85" s="497"/>
      <c r="Y85" s="497"/>
      <c r="Z85" s="497"/>
      <c r="AA85" s="497"/>
      <c r="AB85" s="497"/>
      <c r="AC85" s="497"/>
      <c r="AD85" s="497"/>
    </row>
    <row r="86" spans="2:30" ht="31.5" outlineLevel="1">
      <c r="C86" s="577" t="s">
        <v>30</v>
      </c>
      <c r="D86" s="465" t="s">
        <v>84</v>
      </c>
      <c r="E86" s="572">
        <v>0.14000000000000001</v>
      </c>
      <c r="F86" s="506"/>
      <c r="G86" s="495"/>
      <c r="H86" s="465" t="s">
        <v>322</v>
      </c>
      <c r="I86" s="465"/>
      <c r="J86" s="496"/>
      <c r="K86" s="496"/>
      <c r="L86" s="497"/>
      <c r="M86" s="497"/>
      <c r="N86" s="497"/>
      <c r="O86" s="497"/>
      <c r="P86" s="497"/>
      <c r="Q86" s="497"/>
      <c r="R86" s="497"/>
      <c r="S86" s="497"/>
      <c r="T86" s="497"/>
      <c r="U86" s="497"/>
      <c r="V86" s="497"/>
      <c r="W86" s="497"/>
      <c r="X86" s="497"/>
      <c r="Y86" s="497"/>
      <c r="Z86" s="497"/>
      <c r="AA86" s="497"/>
      <c r="AB86" s="497"/>
      <c r="AC86" s="497"/>
      <c r="AD86" s="497"/>
    </row>
    <row r="87" spans="2:30" ht="31.5" outlineLevel="1">
      <c r="C87" s="576" t="s">
        <v>199</v>
      </c>
      <c r="D87" s="465" t="s">
        <v>9</v>
      </c>
      <c r="E87" s="568">
        <v>2000000</v>
      </c>
      <c r="G87" s="495"/>
      <c r="H87" s="476" t="s">
        <v>221</v>
      </c>
      <c r="I87" s="465"/>
      <c r="J87" s="496"/>
      <c r="K87" s="496"/>
      <c r="L87" s="497"/>
      <c r="M87" s="497"/>
      <c r="N87" s="497"/>
      <c r="O87" s="497"/>
      <c r="P87" s="497"/>
      <c r="Q87" s="497"/>
      <c r="R87" s="497"/>
      <c r="S87" s="497"/>
      <c r="T87" s="497"/>
      <c r="U87" s="497"/>
      <c r="V87" s="497"/>
      <c r="W87" s="497"/>
      <c r="X87" s="497"/>
      <c r="Y87" s="497"/>
      <c r="Z87" s="497"/>
      <c r="AA87" s="497"/>
      <c r="AB87" s="497"/>
      <c r="AC87" s="497"/>
      <c r="AD87" s="497"/>
    </row>
    <row r="88" spans="2:30" outlineLevel="1">
      <c r="C88" s="577" t="s">
        <v>69</v>
      </c>
      <c r="D88" s="465" t="s">
        <v>71</v>
      </c>
      <c r="E88" s="499">
        <v>33</v>
      </c>
      <c r="G88" s="495"/>
      <c r="H88" s="476"/>
      <c r="I88" s="465"/>
      <c r="J88" s="496"/>
      <c r="K88" s="496"/>
      <c r="L88" s="497"/>
      <c r="M88" s="497"/>
      <c r="N88" s="497"/>
      <c r="O88" s="497"/>
      <c r="P88" s="497"/>
      <c r="Q88" s="497"/>
      <c r="R88" s="497"/>
      <c r="S88" s="497"/>
      <c r="T88" s="497"/>
      <c r="U88" s="497"/>
      <c r="V88" s="497"/>
      <c r="W88" s="497"/>
      <c r="X88" s="497"/>
      <c r="Y88" s="497"/>
      <c r="Z88" s="497"/>
      <c r="AA88" s="497"/>
      <c r="AB88" s="497"/>
      <c r="AC88" s="497"/>
      <c r="AD88" s="497"/>
    </row>
    <row r="89" spans="2:30" outlineLevel="1">
      <c r="C89" s="577" t="s">
        <v>70</v>
      </c>
      <c r="D89" s="465" t="s">
        <v>72</v>
      </c>
      <c r="E89" s="499">
        <v>0</v>
      </c>
      <c r="G89" s="495"/>
      <c r="H89" s="476"/>
      <c r="I89" s="465"/>
      <c r="J89" s="496"/>
      <c r="K89" s="496"/>
      <c r="L89" s="497"/>
      <c r="M89" s="497"/>
      <c r="N89" s="497"/>
      <c r="O89" s="497"/>
      <c r="P89" s="497"/>
      <c r="Q89" s="497"/>
      <c r="R89" s="497"/>
      <c r="S89" s="497"/>
      <c r="T89" s="497"/>
      <c r="U89" s="497"/>
      <c r="V89" s="497"/>
      <c r="W89" s="497"/>
      <c r="X89" s="497"/>
      <c r="Y89" s="497"/>
      <c r="Z89" s="497"/>
      <c r="AA89" s="497"/>
      <c r="AB89" s="497"/>
      <c r="AC89" s="497"/>
      <c r="AD89" s="497"/>
    </row>
    <row r="90" spans="2:30" ht="31.5" outlineLevel="1">
      <c r="C90" s="577" t="s">
        <v>30</v>
      </c>
      <c r="D90" s="465" t="s">
        <v>84</v>
      </c>
      <c r="E90" s="505">
        <v>0.14000000000000001</v>
      </c>
      <c r="F90" s="506"/>
      <c r="G90" s="495"/>
      <c r="H90" s="465" t="s">
        <v>322</v>
      </c>
      <c r="I90" s="465"/>
      <c r="J90" s="496"/>
      <c r="K90" s="496"/>
      <c r="L90" s="497"/>
      <c r="M90" s="497"/>
      <c r="N90" s="497"/>
      <c r="O90" s="497"/>
      <c r="P90" s="497"/>
      <c r="Q90" s="497"/>
      <c r="R90" s="497"/>
      <c r="S90" s="497"/>
      <c r="T90" s="497"/>
      <c r="U90" s="497"/>
      <c r="V90" s="497"/>
      <c r="W90" s="497"/>
      <c r="X90" s="497"/>
      <c r="Y90" s="497"/>
      <c r="Z90" s="497"/>
      <c r="AA90" s="497"/>
      <c r="AB90" s="497"/>
      <c r="AC90" s="497"/>
      <c r="AD90" s="497"/>
    </row>
    <row r="91" spans="2:30" ht="31.5" outlineLevel="1">
      <c r="C91" s="576" t="s">
        <v>200</v>
      </c>
      <c r="D91" s="465" t="s">
        <v>9</v>
      </c>
      <c r="E91" s="498">
        <v>300000</v>
      </c>
      <c r="G91" s="495"/>
      <c r="H91" s="476"/>
      <c r="I91" s="480" t="s">
        <v>324</v>
      </c>
      <c r="J91" s="496"/>
      <c r="K91" s="496"/>
      <c r="L91" s="497"/>
      <c r="M91" s="497"/>
      <c r="N91" s="497"/>
      <c r="O91" s="497"/>
      <c r="P91" s="497"/>
      <c r="Q91" s="497"/>
      <c r="R91" s="497"/>
      <c r="S91" s="497"/>
      <c r="T91" s="497"/>
      <c r="U91" s="497"/>
      <c r="V91" s="497"/>
      <c r="W91" s="497"/>
      <c r="X91" s="497"/>
      <c r="Y91" s="497"/>
      <c r="Z91" s="497"/>
      <c r="AA91" s="497"/>
      <c r="AB91" s="497"/>
      <c r="AC91" s="497"/>
      <c r="AD91" s="497"/>
    </row>
    <row r="92" spans="2:30" outlineLevel="1">
      <c r="C92" s="577" t="s">
        <v>69</v>
      </c>
      <c r="D92" s="465" t="s">
        <v>71</v>
      </c>
      <c r="E92" s="499">
        <v>640</v>
      </c>
      <c r="G92" s="495"/>
      <c r="H92" s="476"/>
      <c r="I92" s="465"/>
      <c r="J92" s="496"/>
      <c r="K92" s="496"/>
      <c r="L92" s="497"/>
      <c r="M92" s="497"/>
      <c r="N92" s="497"/>
      <c r="O92" s="497"/>
      <c r="P92" s="497"/>
      <c r="Q92" s="497"/>
      <c r="R92" s="497"/>
      <c r="S92" s="497"/>
      <c r="T92" s="497"/>
      <c r="U92" s="497"/>
      <c r="V92" s="497"/>
      <c r="W92" s="497"/>
      <c r="X92" s="497"/>
      <c r="Y92" s="497"/>
      <c r="Z92" s="497"/>
      <c r="AA92" s="497"/>
      <c r="AB92" s="497"/>
      <c r="AC92" s="497"/>
      <c r="AD92" s="497"/>
    </row>
    <row r="93" spans="2:30" outlineLevel="1">
      <c r="C93" s="577" t="s">
        <v>70</v>
      </c>
      <c r="D93" s="465" t="s">
        <v>72</v>
      </c>
      <c r="E93" s="499">
        <v>0</v>
      </c>
      <c r="G93" s="495"/>
      <c r="H93" s="476"/>
      <c r="I93" s="465"/>
      <c r="J93" s="496"/>
      <c r="K93" s="496"/>
      <c r="L93" s="497"/>
      <c r="M93" s="497"/>
      <c r="N93" s="497"/>
      <c r="O93" s="497"/>
      <c r="P93" s="497"/>
      <c r="Q93" s="497"/>
      <c r="R93" s="497"/>
      <c r="S93" s="497"/>
      <c r="T93" s="497"/>
      <c r="U93" s="497"/>
      <c r="V93" s="497"/>
      <c r="W93" s="497"/>
      <c r="X93" s="497"/>
      <c r="Y93" s="497"/>
      <c r="Z93" s="497"/>
      <c r="AA93" s="497"/>
      <c r="AB93" s="497"/>
      <c r="AC93" s="497"/>
      <c r="AD93" s="497"/>
    </row>
    <row r="94" spans="2:30" ht="31.5" outlineLevel="1">
      <c r="C94" s="577" t="s">
        <v>30</v>
      </c>
      <c r="D94" s="465" t="s">
        <v>84</v>
      </c>
      <c r="E94" s="505">
        <v>0.14000000000000001</v>
      </c>
      <c r="F94" s="506"/>
      <c r="G94" s="495"/>
      <c r="H94" s="471" t="s">
        <v>322</v>
      </c>
      <c r="I94" s="471"/>
      <c r="J94" s="496"/>
      <c r="K94" s="496"/>
      <c r="L94" s="497"/>
      <c r="M94" s="497"/>
      <c r="N94" s="497"/>
      <c r="O94" s="497"/>
      <c r="P94" s="497"/>
      <c r="Q94" s="497"/>
      <c r="R94" s="497"/>
      <c r="S94" s="497"/>
      <c r="T94" s="497"/>
      <c r="U94" s="497"/>
      <c r="V94" s="497"/>
      <c r="W94" s="497"/>
      <c r="X94" s="497"/>
      <c r="Y94" s="497"/>
      <c r="Z94" s="497"/>
      <c r="AA94" s="497"/>
      <c r="AB94" s="497"/>
      <c r="AC94" s="497"/>
      <c r="AD94" s="497"/>
    </row>
    <row r="95" spans="2:30">
      <c r="B95" s="506"/>
      <c r="C95" s="578"/>
      <c r="D95" s="507"/>
      <c r="E95" s="508"/>
      <c r="F95" s="495"/>
      <c r="G95" s="495"/>
      <c r="H95" s="507"/>
      <c r="I95" s="507"/>
      <c r="J95" s="496"/>
      <c r="K95" s="496"/>
      <c r="L95" s="497"/>
      <c r="M95" s="497"/>
      <c r="N95" s="497"/>
      <c r="O95" s="497"/>
      <c r="P95" s="497"/>
      <c r="Q95" s="497"/>
      <c r="R95" s="497"/>
      <c r="S95" s="497"/>
      <c r="T95" s="497"/>
      <c r="U95" s="497"/>
      <c r="V95" s="497"/>
      <c r="W95" s="497"/>
      <c r="X95" s="497"/>
      <c r="Y95" s="497"/>
      <c r="Z95" s="497"/>
      <c r="AA95" s="497"/>
      <c r="AB95" s="497"/>
      <c r="AC95" s="497"/>
      <c r="AD95" s="497"/>
    </row>
    <row r="96" spans="2:30">
      <c r="C96" s="575" t="s">
        <v>25</v>
      </c>
      <c r="D96" s="38" t="s">
        <v>5</v>
      </c>
      <c r="E96" s="590" t="s">
        <v>94</v>
      </c>
      <c r="G96" s="491"/>
      <c r="H96" s="467" t="s">
        <v>33</v>
      </c>
      <c r="I96" s="468" t="s">
        <v>34</v>
      </c>
      <c r="J96" s="395"/>
    </row>
    <row r="97" spans="2:30">
      <c r="C97" s="574"/>
      <c r="D97" s="37"/>
      <c r="E97" s="40" t="s">
        <v>66</v>
      </c>
      <c r="F97" s="492"/>
      <c r="G97" s="493"/>
      <c r="H97" s="463"/>
      <c r="I97" s="483"/>
      <c r="J97" s="395"/>
      <c r="K97" s="395"/>
    </row>
    <row r="98" spans="2:30" ht="31.5">
      <c r="C98" s="579" t="s">
        <v>21</v>
      </c>
      <c r="D98" s="392" t="s">
        <v>10</v>
      </c>
      <c r="E98" s="510">
        <v>0.12</v>
      </c>
      <c r="F98" s="511"/>
      <c r="G98" s="495"/>
      <c r="H98" s="470" t="s">
        <v>81</v>
      </c>
      <c r="I98" s="484" t="s">
        <v>79</v>
      </c>
      <c r="J98" s="496"/>
      <c r="K98" s="496"/>
      <c r="L98" s="497"/>
      <c r="M98" s="497"/>
      <c r="N98" s="497"/>
      <c r="O98" s="497"/>
      <c r="P98" s="497"/>
      <c r="Q98" s="497"/>
      <c r="R98" s="497"/>
      <c r="S98" s="497"/>
      <c r="T98" s="497"/>
      <c r="U98" s="497"/>
      <c r="V98" s="497"/>
      <c r="W98" s="497"/>
      <c r="X98" s="497"/>
      <c r="Y98" s="497"/>
      <c r="Z98" s="497"/>
      <c r="AA98" s="497"/>
      <c r="AB98" s="497"/>
      <c r="AC98" s="497"/>
      <c r="AD98" s="497"/>
    </row>
    <row r="99" spans="2:30" ht="47.25">
      <c r="C99" s="579" t="s">
        <v>37</v>
      </c>
      <c r="D99" s="392" t="s">
        <v>11</v>
      </c>
      <c r="E99" s="509">
        <v>1.0900000000000001</v>
      </c>
      <c r="F99" s="495"/>
      <c r="G99" s="495"/>
      <c r="H99" s="466" t="s">
        <v>80</v>
      </c>
      <c r="I99" s="484" t="s">
        <v>82</v>
      </c>
      <c r="J99" s="496"/>
      <c r="K99" s="496"/>
      <c r="L99" s="497"/>
      <c r="M99" s="497"/>
      <c r="N99" s="497"/>
      <c r="O99" s="497"/>
      <c r="P99" s="497"/>
      <c r="Q99" s="497"/>
      <c r="R99" s="497"/>
      <c r="S99" s="497"/>
      <c r="T99" s="497"/>
      <c r="U99" s="497"/>
      <c r="V99" s="497"/>
      <c r="W99" s="497"/>
      <c r="X99" s="497"/>
      <c r="Y99" s="497"/>
      <c r="Z99" s="497"/>
      <c r="AA99" s="497"/>
      <c r="AB99" s="497"/>
      <c r="AC99" s="497"/>
      <c r="AD99" s="497"/>
    </row>
    <row r="100" spans="2:30" ht="47.25">
      <c r="C100" s="579" t="s">
        <v>36</v>
      </c>
      <c r="D100" s="392" t="s">
        <v>262</v>
      </c>
      <c r="E100" s="512">
        <v>54700</v>
      </c>
      <c r="F100" s="495"/>
      <c r="G100" s="495"/>
      <c r="H100" s="465" t="s">
        <v>325</v>
      </c>
      <c r="I100" s="485" t="s">
        <v>12</v>
      </c>
      <c r="J100" s="496"/>
      <c r="K100" s="496"/>
      <c r="L100" s="497"/>
      <c r="M100" s="497"/>
      <c r="N100" s="497"/>
      <c r="O100" s="497"/>
      <c r="P100" s="497"/>
      <c r="Q100" s="497"/>
      <c r="R100" s="497"/>
      <c r="S100" s="497"/>
      <c r="T100" s="497"/>
      <c r="U100" s="497"/>
      <c r="V100" s="497"/>
      <c r="W100" s="497"/>
      <c r="X100" s="497"/>
      <c r="Y100" s="497"/>
      <c r="Z100" s="497"/>
      <c r="AA100" s="497"/>
      <c r="AB100" s="497"/>
      <c r="AC100" s="497"/>
      <c r="AD100" s="497"/>
    </row>
    <row r="101" spans="2:30" ht="31.5">
      <c r="C101" s="579" t="s">
        <v>7</v>
      </c>
      <c r="D101" s="392" t="s">
        <v>18</v>
      </c>
      <c r="E101" s="512">
        <f>0</f>
        <v>0</v>
      </c>
      <c r="F101" s="495"/>
      <c r="G101" s="495"/>
      <c r="H101" s="465" t="s">
        <v>83</v>
      </c>
      <c r="I101" s="486"/>
      <c r="J101" s="496"/>
      <c r="K101" s="496"/>
      <c r="L101" s="497"/>
      <c r="M101" s="497"/>
      <c r="N101" s="497"/>
      <c r="O101" s="497"/>
      <c r="P101" s="497"/>
      <c r="Q101" s="497"/>
      <c r="R101" s="497"/>
      <c r="S101" s="497"/>
      <c r="T101" s="497"/>
      <c r="U101" s="497"/>
      <c r="V101" s="497"/>
      <c r="W101" s="497"/>
      <c r="X101" s="497"/>
      <c r="Y101" s="497"/>
      <c r="Z101" s="497"/>
      <c r="AA101" s="497"/>
      <c r="AB101" s="497"/>
      <c r="AC101" s="497"/>
      <c r="AD101" s="497"/>
    </row>
    <row r="102" spans="2:30">
      <c r="C102" s="575" t="s">
        <v>28</v>
      </c>
      <c r="D102" s="392"/>
      <c r="E102" s="512"/>
      <c r="F102" s="495"/>
      <c r="G102" s="495"/>
      <c r="H102" s="469"/>
      <c r="I102" s="486"/>
      <c r="J102" s="496"/>
      <c r="K102" s="496"/>
      <c r="L102" s="497"/>
      <c r="M102" s="497"/>
      <c r="N102" s="497"/>
      <c r="O102" s="497"/>
      <c r="P102" s="497"/>
      <c r="Q102" s="497"/>
      <c r="R102" s="497"/>
      <c r="S102" s="497"/>
      <c r="T102" s="497"/>
      <c r="U102" s="497"/>
      <c r="V102" s="497"/>
      <c r="W102" s="497"/>
      <c r="X102" s="497"/>
      <c r="Y102" s="497"/>
      <c r="Z102" s="497"/>
      <c r="AA102" s="497"/>
      <c r="AB102" s="497"/>
      <c r="AC102" s="497"/>
      <c r="AD102" s="497"/>
    </row>
    <row r="103" spans="2:30">
      <c r="C103" s="580" t="s">
        <v>193</v>
      </c>
      <c r="D103" s="513" t="s">
        <v>85</v>
      </c>
      <c r="E103" s="550">
        <v>146</v>
      </c>
      <c r="F103" s="515"/>
      <c r="G103" s="515"/>
      <c r="H103" s="466"/>
      <c r="I103" s="486" t="s">
        <v>194</v>
      </c>
      <c r="J103" s="496"/>
      <c r="K103" s="496"/>
      <c r="L103" s="497"/>
      <c r="M103" s="497"/>
      <c r="N103" s="497"/>
      <c r="O103" s="497"/>
      <c r="P103" s="497"/>
      <c r="Q103" s="497"/>
      <c r="R103" s="497"/>
      <c r="S103" s="497"/>
      <c r="T103" s="497"/>
      <c r="U103" s="497"/>
      <c r="V103" s="497"/>
      <c r="W103" s="497"/>
      <c r="X103" s="497"/>
      <c r="Y103" s="497"/>
      <c r="Z103" s="497"/>
      <c r="AA103" s="497"/>
      <c r="AB103" s="497"/>
      <c r="AC103" s="497"/>
      <c r="AD103" s="497"/>
    </row>
    <row r="104" spans="2:30" s="528" customFormat="1" ht="47.25">
      <c r="C104" s="581" t="s">
        <v>335</v>
      </c>
      <c r="D104" s="466" t="s">
        <v>85</v>
      </c>
      <c r="E104" s="550">
        <v>25</v>
      </c>
      <c r="F104" s="529"/>
      <c r="G104" s="529"/>
      <c r="H104" s="466" t="s">
        <v>336</v>
      </c>
      <c r="I104" s="532" t="s">
        <v>337</v>
      </c>
      <c r="J104" s="530"/>
      <c r="K104" s="530"/>
      <c r="L104" s="531"/>
      <c r="M104" s="531"/>
      <c r="N104" s="531"/>
      <c r="O104" s="531"/>
      <c r="P104" s="531"/>
      <c r="Q104" s="531"/>
      <c r="R104" s="531"/>
      <c r="S104" s="531"/>
      <c r="T104" s="531"/>
      <c r="U104" s="531"/>
      <c r="V104" s="531"/>
      <c r="W104" s="531"/>
      <c r="X104" s="531"/>
      <c r="Y104" s="531"/>
      <c r="Z104" s="531"/>
      <c r="AA104" s="531"/>
      <c r="AB104" s="531"/>
      <c r="AC104" s="531"/>
      <c r="AD104" s="531"/>
    </row>
    <row r="105" spans="2:30">
      <c r="C105" s="582" t="s">
        <v>124</v>
      </c>
      <c r="D105" s="513" t="s">
        <v>8</v>
      </c>
      <c r="E105" s="472">
        <v>0</v>
      </c>
      <c r="F105" s="515"/>
      <c r="G105" s="515"/>
      <c r="H105" s="535" t="s">
        <v>340</v>
      </c>
      <c r="I105" s="486"/>
      <c r="J105" s="496"/>
      <c r="K105" s="496"/>
      <c r="L105" s="497"/>
      <c r="M105" s="497"/>
      <c r="N105" s="497"/>
      <c r="O105" s="497"/>
      <c r="P105" s="497"/>
      <c r="Q105" s="497"/>
      <c r="R105" s="497"/>
      <c r="S105" s="497"/>
      <c r="T105" s="497"/>
      <c r="U105" s="497"/>
      <c r="V105" s="497"/>
      <c r="W105" s="497"/>
      <c r="X105" s="497"/>
      <c r="Y105" s="497"/>
      <c r="Z105" s="497"/>
      <c r="AA105" s="497"/>
      <c r="AB105" s="497"/>
      <c r="AC105" s="497"/>
      <c r="AD105" s="497"/>
    </row>
    <row r="106" spans="2:30">
      <c r="C106" s="582" t="s">
        <v>150</v>
      </c>
      <c r="D106" s="513" t="s">
        <v>8</v>
      </c>
      <c r="E106" s="472">
        <v>0</v>
      </c>
      <c r="F106" s="515"/>
      <c r="G106" s="515"/>
      <c r="H106" s="535" t="s">
        <v>340</v>
      </c>
      <c r="I106" s="486"/>
      <c r="J106" s="496"/>
      <c r="K106" s="496"/>
      <c r="L106" s="497"/>
      <c r="M106" s="497"/>
      <c r="N106" s="497"/>
      <c r="O106" s="497"/>
      <c r="P106" s="497"/>
      <c r="Q106" s="497"/>
      <c r="R106" s="497"/>
      <c r="S106" s="497"/>
      <c r="T106" s="497"/>
      <c r="U106" s="497"/>
      <c r="V106" s="497"/>
      <c r="W106" s="497"/>
      <c r="X106" s="497"/>
      <c r="Y106" s="497"/>
      <c r="Z106" s="497"/>
      <c r="AA106" s="497"/>
      <c r="AB106" s="497"/>
      <c r="AC106" s="497"/>
      <c r="AD106" s="497"/>
    </row>
    <row r="107" spans="2:30" ht="47.25">
      <c r="B107" s="516" t="s">
        <v>175</v>
      </c>
      <c r="C107" s="582"/>
      <c r="D107" s="513"/>
      <c r="E107" s="472"/>
      <c r="F107" s="515"/>
      <c r="G107" s="515"/>
      <c r="H107" s="513"/>
      <c r="I107" s="488"/>
      <c r="J107" s="496"/>
      <c r="K107" s="496"/>
      <c r="L107" s="497"/>
      <c r="M107" s="497"/>
      <c r="N107" s="497"/>
      <c r="O107" s="497"/>
      <c r="P107" s="497"/>
      <c r="Q107" s="497"/>
      <c r="R107" s="497"/>
      <c r="S107" s="497"/>
      <c r="T107" s="497"/>
      <c r="U107" s="497"/>
      <c r="V107" s="497"/>
      <c r="W107" s="497"/>
      <c r="X107" s="497"/>
      <c r="Y107" s="497"/>
      <c r="Z107" s="497"/>
      <c r="AA107" s="497"/>
      <c r="AB107" s="497"/>
      <c r="AC107" s="497"/>
      <c r="AD107" s="497"/>
    </row>
    <row r="108" spans="2:30">
      <c r="C108" s="583" t="s">
        <v>142</v>
      </c>
      <c r="D108" s="466"/>
      <c r="E108" s="472"/>
      <c r="F108" s="515"/>
      <c r="G108" s="515"/>
      <c r="H108" s="513"/>
      <c r="I108" s="488"/>
      <c r="J108" s="496"/>
      <c r="K108" s="496"/>
      <c r="L108" s="497"/>
      <c r="M108" s="497"/>
      <c r="N108" s="497"/>
      <c r="O108" s="497"/>
      <c r="P108" s="497"/>
      <c r="Q108" s="497"/>
      <c r="R108" s="497"/>
      <c r="S108" s="497"/>
      <c r="T108" s="497"/>
      <c r="U108" s="497"/>
      <c r="V108" s="497"/>
      <c r="W108" s="497"/>
      <c r="X108" s="497"/>
      <c r="Y108" s="497"/>
      <c r="Z108" s="497"/>
      <c r="AA108" s="497"/>
      <c r="AB108" s="497"/>
      <c r="AC108" s="497"/>
      <c r="AD108" s="497"/>
    </row>
    <row r="109" spans="2:30" ht="94.5">
      <c r="C109" s="581" t="s">
        <v>167</v>
      </c>
      <c r="D109" s="466" t="s">
        <v>85</v>
      </c>
      <c r="E109" s="593">
        <f>'Scenarios Output'!$E$23</f>
        <v>86</v>
      </c>
      <c r="F109" s="435"/>
      <c r="G109" s="555"/>
      <c r="H109" s="564" t="s">
        <v>361</v>
      </c>
      <c r="I109" s="474" t="s">
        <v>15</v>
      </c>
      <c r="J109" s="496"/>
      <c r="K109" s="496"/>
      <c r="L109" s="497"/>
      <c r="M109" s="497"/>
      <c r="N109" s="497"/>
      <c r="O109" s="497"/>
      <c r="P109" s="497"/>
      <c r="Q109" s="497"/>
      <c r="R109" s="497"/>
      <c r="S109" s="497"/>
      <c r="T109" s="497"/>
      <c r="U109" s="497"/>
      <c r="V109" s="497"/>
      <c r="W109" s="497"/>
      <c r="X109" s="497"/>
      <c r="Y109" s="497"/>
      <c r="Z109" s="497"/>
      <c r="AA109" s="497"/>
      <c r="AB109" s="497"/>
      <c r="AC109" s="497"/>
      <c r="AD109" s="497"/>
    </row>
    <row r="110" spans="2:30" ht="78.75">
      <c r="C110" s="581" t="s">
        <v>168</v>
      </c>
      <c r="D110" s="466" t="s">
        <v>85</v>
      </c>
      <c r="E110" s="593">
        <f>'Scenarios Output'!E24</f>
        <v>156</v>
      </c>
      <c r="F110" s="435"/>
      <c r="G110" s="563"/>
      <c r="H110" s="487" t="s">
        <v>360</v>
      </c>
      <c r="I110" s="481" t="s">
        <v>326</v>
      </c>
      <c r="J110" s="496"/>
      <c r="K110" s="496"/>
      <c r="L110" s="497"/>
      <c r="M110" s="497"/>
      <c r="N110" s="497"/>
      <c r="O110" s="497"/>
      <c r="P110" s="497"/>
      <c r="Q110" s="497"/>
      <c r="R110" s="497"/>
      <c r="S110" s="497"/>
      <c r="T110" s="497"/>
      <c r="U110" s="497"/>
      <c r="V110" s="497"/>
      <c r="W110" s="497"/>
      <c r="X110" s="497"/>
      <c r="Y110" s="497"/>
      <c r="Z110" s="497"/>
      <c r="AA110" s="497"/>
      <c r="AB110" s="497"/>
      <c r="AC110" s="497"/>
      <c r="AD110" s="497"/>
    </row>
    <row r="111" spans="2:30" ht="47.25">
      <c r="C111" s="581" t="s">
        <v>169</v>
      </c>
      <c r="D111" s="466" t="s">
        <v>85</v>
      </c>
      <c r="E111" s="593">
        <f>'Scenarios Output'!E25</f>
        <v>4500</v>
      </c>
      <c r="F111" s="435"/>
      <c r="G111" s="563"/>
      <c r="H111" s="487" t="s">
        <v>359</v>
      </c>
      <c r="I111" s="484" t="s">
        <v>327</v>
      </c>
      <c r="J111" s="496"/>
      <c r="K111" s="496"/>
      <c r="L111" s="497"/>
      <c r="M111" s="497"/>
      <c r="N111" s="497"/>
      <c r="O111" s="497"/>
      <c r="P111" s="497"/>
      <c r="Q111" s="497"/>
      <c r="R111" s="497"/>
      <c r="S111" s="497"/>
      <c r="T111" s="497"/>
      <c r="U111" s="497"/>
      <c r="V111" s="497"/>
      <c r="W111" s="497"/>
      <c r="X111" s="497"/>
      <c r="Y111" s="497"/>
      <c r="Z111" s="497"/>
      <c r="AA111" s="497"/>
      <c r="AB111" s="497"/>
      <c r="AC111" s="497"/>
      <c r="AD111" s="497"/>
    </row>
    <row r="112" spans="2:30">
      <c r="C112" s="584" t="s">
        <v>170</v>
      </c>
      <c r="D112" s="513"/>
      <c r="E112" s="514"/>
      <c r="F112" s="515"/>
      <c r="G112" s="515"/>
      <c r="H112" s="466"/>
      <c r="I112" s="486"/>
      <c r="J112" s="496"/>
      <c r="K112" s="496"/>
      <c r="L112" s="497"/>
      <c r="M112" s="497"/>
      <c r="N112" s="497"/>
      <c r="O112" s="497"/>
      <c r="P112" s="497"/>
      <c r="Q112" s="497"/>
      <c r="R112" s="497"/>
      <c r="S112" s="497"/>
      <c r="T112" s="497"/>
      <c r="U112" s="497"/>
      <c r="V112" s="497"/>
      <c r="W112" s="497"/>
      <c r="X112" s="497"/>
      <c r="Y112" s="497"/>
      <c r="Z112" s="497"/>
      <c r="AA112" s="497"/>
      <c r="AB112" s="497"/>
      <c r="AC112" s="497"/>
      <c r="AD112" s="497"/>
    </row>
    <row r="113" spans="3:30" ht="141.75">
      <c r="C113" s="580" t="s">
        <v>157</v>
      </c>
      <c r="D113" s="513" t="s">
        <v>85</v>
      </c>
      <c r="E113" s="517">
        <f>'Scenarios Output'!E30</f>
        <v>50</v>
      </c>
      <c r="F113" s="515"/>
      <c r="G113" s="107"/>
      <c r="H113" s="595" t="s">
        <v>365</v>
      </c>
      <c r="I113" s="486"/>
      <c r="J113" s="496"/>
      <c r="K113" s="496"/>
      <c r="L113" s="497"/>
      <c r="M113" s="497"/>
      <c r="N113" s="497"/>
      <c r="O113" s="497"/>
      <c r="P113" s="497"/>
      <c r="Q113" s="497"/>
      <c r="R113" s="497"/>
      <c r="S113" s="497"/>
      <c r="T113" s="497"/>
      <c r="U113" s="497"/>
      <c r="V113" s="497"/>
      <c r="W113" s="497"/>
      <c r="X113" s="497"/>
      <c r="Y113" s="497"/>
      <c r="Z113" s="497"/>
      <c r="AA113" s="497"/>
      <c r="AB113" s="497"/>
      <c r="AC113" s="497"/>
      <c r="AD113" s="497"/>
    </row>
    <row r="114" spans="3:30" ht="63">
      <c r="C114" s="580" t="s">
        <v>220</v>
      </c>
      <c r="D114" s="513" t="s">
        <v>85</v>
      </c>
      <c r="E114" s="518">
        <v>100</v>
      </c>
      <c r="F114" s="515"/>
      <c r="G114" s="555"/>
      <c r="H114" s="466" t="s">
        <v>328</v>
      </c>
      <c r="I114" s="484" t="s">
        <v>86</v>
      </c>
      <c r="J114" s="496"/>
      <c r="K114" s="496"/>
      <c r="L114" s="497"/>
      <c r="M114" s="497"/>
      <c r="N114" s="497"/>
      <c r="O114" s="497"/>
      <c r="P114" s="497"/>
      <c r="Q114" s="497"/>
      <c r="R114" s="497"/>
      <c r="S114" s="497"/>
      <c r="T114" s="497"/>
      <c r="U114" s="497"/>
      <c r="V114" s="497"/>
      <c r="W114" s="497"/>
      <c r="X114" s="497"/>
      <c r="Y114" s="497"/>
      <c r="Z114" s="497"/>
      <c r="AA114" s="497"/>
      <c r="AB114" s="497"/>
      <c r="AC114" s="497"/>
      <c r="AD114" s="497"/>
    </row>
    <row r="115" spans="3:30" ht="78.75">
      <c r="C115" s="580" t="s">
        <v>171</v>
      </c>
      <c r="D115" s="513" t="s">
        <v>85</v>
      </c>
      <c r="E115" s="517">
        <f>'Scenarios Output'!E31</f>
        <v>50</v>
      </c>
      <c r="F115" s="515"/>
      <c r="G115" s="515"/>
      <c r="H115" s="564" t="s">
        <v>358</v>
      </c>
      <c r="I115" s="474" t="s">
        <v>172</v>
      </c>
      <c r="J115" s="496"/>
      <c r="K115" s="496"/>
      <c r="L115" s="497"/>
      <c r="M115" s="497"/>
      <c r="N115" s="497"/>
      <c r="O115" s="497"/>
      <c r="P115" s="497"/>
      <c r="Q115" s="497"/>
      <c r="R115" s="497"/>
      <c r="S115" s="497"/>
      <c r="T115" s="497"/>
      <c r="U115" s="497"/>
      <c r="V115" s="497"/>
      <c r="W115" s="497"/>
      <c r="X115" s="497"/>
      <c r="Y115" s="497"/>
      <c r="Z115" s="497"/>
      <c r="AA115" s="497"/>
      <c r="AB115" s="497"/>
      <c r="AC115" s="497"/>
      <c r="AD115" s="497"/>
    </row>
    <row r="116" spans="3:30" ht="47.25">
      <c r="C116" s="580" t="s">
        <v>16</v>
      </c>
      <c r="D116" s="513" t="s">
        <v>85</v>
      </c>
      <c r="E116" s="518">
        <v>75</v>
      </c>
      <c r="F116" s="515"/>
      <c r="G116" s="515"/>
      <c r="H116" s="527" t="s">
        <v>338</v>
      </c>
      <c r="I116" s="533" t="s">
        <v>87</v>
      </c>
      <c r="J116" s="496"/>
      <c r="K116" s="496"/>
      <c r="L116" s="497"/>
      <c r="M116" s="497"/>
      <c r="N116" s="497"/>
      <c r="O116" s="497"/>
      <c r="P116" s="497"/>
      <c r="Q116" s="497"/>
      <c r="R116" s="497"/>
      <c r="S116" s="497"/>
      <c r="T116" s="497"/>
      <c r="U116" s="497"/>
      <c r="V116" s="497"/>
      <c r="W116" s="497"/>
      <c r="X116" s="497"/>
      <c r="Y116" s="497"/>
      <c r="Z116" s="497"/>
      <c r="AA116" s="497"/>
      <c r="AB116" s="497"/>
      <c r="AC116" s="497"/>
      <c r="AD116" s="497"/>
    </row>
    <row r="117" spans="3:30" ht="63">
      <c r="C117" s="580" t="s">
        <v>173</v>
      </c>
      <c r="D117" s="513" t="s">
        <v>85</v>
      </c>
      <c r="E117" s="518" t="s">
        <v>174</v>
      </c>
      <c r="F117" s="515"/>
      <c r="G117" s="515"/>
      <c r="H117" s="466" t="s">
        <v>329</v>
      </c>
      <c r="I117" s="482" t="s">
        <v>330</v>
      </c>
      <c r="J117" s="496"/>
      <c r="K117" s="496"/>
      <c r="L117" s="497"/>
      <c r="M117" s="497"/>
      <c r="N117" s="497"/>
      <c r="O117" s="497"/>
      <c r="P117" s="497"/>
      <c r="Q117" s="497"/>
      <c r="R117" s="497"/>
      <c r="S117" s="497"/>
      <c r="T117" s="497"/>
      <c r="U117" s="497"/>
      <c r="V117" s="497"/>
      <c r="W117" s="497"/>
      <c r="X117" s="497"/>
      <c r="Y117" s="497"/>
      <c r="Z117" s="497"/>
      <c r="AA117" s="497"/>
      <c r="AB117" s="497"/>
      <c r="AC117" s="497"/>
      <c r="AD117" s="497"/>
    </row>
    <row r="118" spans="3:30">
      <c r="C118" s="584" t="s">
        <v>58</v>
      </c>
      <c r="D118" s="513"/>
      <c r="E118" s="518"/>
      <c r="F118" s="515"/>
      <c r="G118" s="515"/>
      <c r="H118" s="466"/>
      <c r="I118" s="484"/>
      <c r="J118" s="496"/>
      <c r="K118" s="496"/>
      <c r="L118" s="497"/>
      <c r="M118" s="497"/>
      <c r="N118" s="497"/>
      <c r="O118" s="497"/>
      <c r="P118" s="497"/>
      <c r="Q118" s="497"/>
      <c r="R118" s="497"/>
      <c r="S118" s="497"/>
      <c r="T118" s="497"/>
      <c r="U118" s="497"/>
      <c r="V118" s="497"/>
      <c r="W118" s="497"/>
      <c r="X118" s="497"/>
      <c r="Y118" s="497"/>
      <c r="Z118" s="497"/>
      <c r="AA118" s="497"/>
      <c r="AB118" s="497"/>
      <c r="AC118" s="497"/>
      <c r="AD118" s="497"/>
    </row>
    <row r="119" spans="3:30" ht="63">
      <c r="C119" s="580" t="s">
        <v>13</v>
      </c>
      <c r="D119" s="513" t="s">
        <v>85</v>
      </c>
      <c r="E119" s="518">
        <v>2000</v>
      </c>
      <c r="F119" s="515"/>
      <c r="G119" s="515"/>
      <c r="H119" s="466" t="s">
        <v>331</v>
      </c>
      <c r="I119" s="484" t="s">
        <v>88</v>
      </c>
      <c r="J119" s="496"/>
      <c r="K119" s="496"/>
      <c r="L119" s="497"/>
      <c r="M119" s="497"/>
      <c r="N119" s="497"/>
      <c r="O119" s="497"/>
      <c r="P119" s="497"/>
      <c r="Q119" s="497"/>
      <c r="R119" s="497"/>
      <c r="S119" s="497"/>
      <c r="T119" s="497"/>
      <c r="U119" s="497"/>
      <c r="V119" s="497"/>
      <c r="W119" s="497"/>
      <c r="X119" s="497"/>
      <c r="Y119" s="497"/>
      <c r="Z119" s="497"/>
      <c r="AA119" s="497"/>
      <c r="AB119" s="497"/>
      <c r="AC119" s="497"/>
      <c r="AD119" s="497"/>
    </row>
    <row r="120" spans="3:30" ht="31.5">
      <c r="C120" s="585" t="s">
        <v>57</v>
      </c>
      <c r="D120" s="513" t="s">
        <v>8</v>
      </c>
      <c r="E120" s="111"/>
      <c r="F120" s="495"/>
      <c r="G120" s="495"/>
      <c r="H120" s="465"/>
      <c r="I120" s="465" t="s">
        <v>334</v>
      </c>
      <c r="J120" s="496"/>
      <c r="K120" s="496"/>
      <c r="L120" s="497"/>
      <c r="M120" s="497"/>
      <c r="N120" s="497"/>
      <c r="O120" s="497"/>
      <c r="P120" s="497"/>
      <c r="Q120" s="497"/>
      <c r="R120" s="497"/>
      <c r="S120" s="497"/>
      <c r="T120" s="497"/>
      <c r="U120" s="497"/>
      <c r="V120" s="497"/>
      <c r="W120" s="497"/>
      <c r="X120" s="497"/>
      <c r="Y120" s="497"/>
      <c r="Z120" s="497"/>
      <c r="AA120" s="497"/>
      <c r="AB120" s="497"/>
      <c r="AC120" s="497"/>
      <c r="AD120" s="497"/>
    </row>
    <row r="121" spans="3:30">
      <c r="C121" s="586"/>
      <c r="D121" s="519"/>
      <c r="E121" s="594"/>
      <c r="F121" s="515"/>
      <c r="G121" s="495"/>
      <c r="H121" s="520"/>
      <c r="I121" s="521"/>
      <c r="J121" s="496"/>
      <c r="K121" s="496"/>
      <c r="L121" s="497"/>
      <c r="M121" s="497"/>
      <c r="N121" s="497"/>
      <c r="O121" s="497"/>
      <c r="P121" s="497"/>
      <c r="Q121" s="497"/>
      <c r="R121" s="497"/>
      <c r="S121" s="497"/>
      <c r="T121" s="497"/>
      <c r="U121" s="497"/>
      <c r="V121" s="497"/>
      <c r="W121" s="497"/>
      <c r="X121" s="497"/>
      <c r="Y121" s="497"/>
      <c r="Z121" s="497"/>
      <c r="AA121" s="497"/>
      <c r="AB121" s="497"/>
      <c r="AC121" s="497"/>
      <c r="AD121" s="497"/>
    </row>
    <row r="122" spans="3:30">
      <c r="C122" s="96"/>
      <c r="D122" s="435"/>
      <c r="E122" s="522"/>
      <c r="F122" s="435"/>
      <c r="G122" s="435"/>
      <c r="H122" s="496"/>
      <c r="I122" s="496"/>
      <c r="J122" s="496"/>
      <c r="K122" s="496"/>
      <c r="L122" s="497"/>
      <c r="M122" s="497"/>
      <c r="N122" s="497"/>
      <c r="O122" s="497"/>
      <c r="P122" s="497"/>
      <c r="Q122" s="497"/>
      <c r="R122" s="497"/>
      <c r="S122" s="497"/>
      <c r="T122" s="497"/>
      <c r="U122" s="497"/>
      <c r="V122" s="497"/>
      <c r="W122" s="497"/>
      <c r="X122" s="497"/>
      <c r="Y122" s="497"/>
      <c r="Z122" s="497"/>
      <c r="AA122" s="497"/>
      <c r="AB122" s="497"/>
      <c r="AC122" s="497"/>
      <c r="AD122" s="497"/>
    </row>
    <row r="123" spans="3:30">
      <c r="C123" s="96"/>
      <c r="D123" s="496"/>
      <c r="E123" s="523"/>
      <c r="F123" s="496"/>
      <c r="G123" s="496"/>
      <c r="H123" s="496"/>
      <c r="I123" s="496"/>
      <c r="J123" s="496"/>
      <c r="K123" s="496"/>
      <c r="L123" s="497"/>
      <c r="M123" s="497"/>
      <c r="N123" s="497"/>
      <c r="O123" s="497"/>
      <c r="P123" s="497"/>
      <c r="Q123" s="497"/>
      <c r="R123" s="497"/>
      <c r="S123" s="497"/>
      <c r="T123" s="497"/>
      <c r="U123" s="497"/>
      <c r="V123" s="497"/>
      <c r="W123" s="497"/>
      <c r="X123" s="497"/>
      <c r="Y123" s="497"/>
      <c r="Z123" s="497"/>
      <c r="AA123" s="497"/>
      <c r="AB123" s="497"/>
      <c r="AC123" s="497"/>
      <c r="AD123" s="497"/>
    </row>
    <row r="124" spans="3:30">
      <c r="C124" s="96"/>
      <c r="D124" s="395"/>
      <c r="E124" s="524"/>
      <c r="F124" s="395"/>
      <c r="G124" s="395"/>
      <c r="H124" s="395"/>
      <c r="I124" s="395"/>
      <c r="J124" s="395"/>
      <c r="K124" s="395"/>
    </row>
  </sheetData>
  <hyperlinks>
    <hyperlink ref="I9" r:id="rId1"/>
    <hyperlink ref="I43" r:id="rId2"/>
    <hyperlink ref="I51" r:id="rId3"/>
    <hyperlink ref="I27" r:id="rId4"/>
    <hyperlink ref="I71" r:id="rId5"/>
    <hyperlink ref="I100" r:id="rId6"/>
    <hyperlink ref="H98" r:id="rId7"/>
    <hyperlink ref="I109" r:id="rId8"/>
    <hyperlink ref="I115" r:id="rId9" display="http://www.bpsag.ch/pdf/Publication%20OECD.pdf"/>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5" tint="0.39997558519241921"/>
  </sheetPr>
  <dimension ref="B2:J44"/>
  <sheetViews>
    <sheetView workbookViewId="0"/>
  </sheetViews>
  <sheetFormatPr defaultColWidth="8.85546875" defaultRowHeight="15"/>
  <cols>
    <col min="1" max="1" width="3.28515625" customWidth="1"/>
    <col min="2" max="2" width="11.85546875" customWidth="1"/>
    <col min="3" max="3" width="30.28515625" customWidth="1"/>
    <col min="4" max="4" width="18.7109375" customWidth="1"/>
    <col min="5" max="5" width="17.28515625" customWidth="1"/>
    <col min="6" max="6" width="14.140625" bestFit="1" customWidth="1"/>
    <col min="8" max="8" width="57.140625" customWidth="1"/>
    <col min="9" max="9" width="12.42578125" customWidth="1"/>
    <col min="10" max="10" width="24.140625" customWidth="1"/>
  </cols>
  <sheetData>
    <row r="2" spans="2:10" ht="15.75">
      <c r="J2" s="114" t="s">
        <v>43</v>
      </c>
    </row>
    <row r="3" spans="2:10" ht="21">
      <c r="C3" s="7" t="s">
        <v>362</v>
      </c>
      <c r="E3" s="7"/>
      <c r="J3" s="163" t="s">
        <v>41</v>
      </c>
    </row>
    <row r="4" spans="2:10" ht="18.75">
      <c r="C4" s="8" t="s">
        <v>363</v>
      </c>
      <c r="E4" s="9"/>
      <c r="J4" s="263" t="s">
        <v>42</v>
      </c>
    </row>
    <row r="5" spans="2:10" ht="18.75">
      <c r="C5" s="9"/>
      <c r="E5" s="9"/>
      <c r="J5" s="160"/>
    </row>
    <row r="6" spans="2:10" ht="15.75">
      <c r="B6" s="16" t="s">
        <v>117</v>
      </c>
      <c r="D6" s="160"/>
      <c r="E6" s="160"/>
      <c r="F6" s="160"/>
      <c r="G6" s="5"/>
      <c r="H6" s="5"/>
      <c r="I6" s="5"/>
      <c r="J6" s="160"/>
    </row>
    <row r="7" spans="2:10" ht="15.75">
      <c r="C7" s="5"/>
      <c r="D7" s="17" t="s">
        <v>118</v>
      </c>
      <c r="E7" s="25" t="s">
        <v>121</v>
      </c>
      <c r="G7" s="160"/>
      <c r="H7" s="84" t="s">
        <v>33</v>
      </c>
      <c r="I7" s="84" t="s">
        <v>34</v>
      </c>
      <c r="J7" s="160"/>
    </row>
    <row r="8" spans="2:10" ht="15.75">
      <c r="C8" s="414" t="s">
        <v>274</v>
      </c>
      <c r="D8" s="641">
        <v>0.3</v>
      </c>
      <c r="E8" s="642">
        <v>0.16300000000000001</v>
      </c>
      <c r="G8" s="160"/>
      <c r="H8" s="385" t="s">
        <v>272</v>
      </c>
      <c r="I8" s="385" t="s">
        <v>273</v>
      </c>
      <c r="J8" s="160"/>
    </row>
    <row r="9" spans="2:10" ht="15.75">
      <c r="B9" s="116"/>
      <c r="C9" s="84" t="s">
        <v>22</v>
      </c>
      <c r="D9" s="643">
        <f>100%-D8</f>
        <v>0.7</v>
      </c>
      <c r="E9" s="644">
        <f>100%-E8</f>
        <v>0.83699999999999997</v>
      </c>
      <c r="G9" s="160"/>
      <c r="H9" s="182"/>
      <c r="I9" s="393"/>
      <c r="J9" s="160"/>
    </row>
    <row r="10" spans="2:10" ht="16.5" thickBot="1">
      <c r="B10" s="116"/>
      <c r="C10" s="415"/>
      <c r="D10" s="416"/>
      <c r="E10" s="417"/>
      <c r="G10" s="160"/>
      <c r="H10" s="160"/>
      <c r="I10" s="160"/>
      <c r="J10" s="160"/>
    </row>
    <row r="11" spans="2:10" ht="16.5" thickTop="1">
      <c r="B11" s="116"/>
      <c r="C11" s="84" t="s">
        <v>275</v>
      </c>
      <c r="D11" s="413">
        <f>D9+D8</f>
        <v>1</v>
      </c>
      <c r="E11" s="394">
        <f>E9+E8</f>
        <v>1</v>
      </c>
      <c r="G11" s="160"/>
      <c r="H11" s="160"/>
      <c r="I11" s="160"/>
      <c r="J11" s="160"/>
    </row>
    <row r="12" spans="2:10" ht="15.75">
      <c r="B12" s="116"/>
      <c r="C12" s="5"/>
      <c r="H12" s="160"/>
      <c r="I12" s="160"/>
      <c r="J12" s="160"/>
    </row>
    <row r="13" spans="2:10" ht="15.75">
      <c r="B13" s="116"/>
      <c r="C13" s="5"/>
      <c r="H13" s="160"/>
      <c r="I13" s="160"/>
      <c r="J13" s="160"/>
    </row>
    <row r="14" spans="2:10" ht="15.75">
      <c r="B14" s="116" t="s">
        <v>120</v>
      </c>
      <c r="C14" s="5"/>
      <c r="J14" s="160"/>
    </row>
    <row r="15" spans="2:10" ht="15.75">
      <c r="C15" s="179" t="s">
        <v>25</v>
      </c>
      <c r="D15" s="17" t="s">
        <v>5</v>
      </c>
      <c r="E15" s="418" t="s">
        <v>38</v>
      </c>
      <c r="F15" s="180"/>
      <c r="G15" s="160"/>
      <c r="J15" s="160"/>
    </row>
    <row r="16" spans="2:10" ht="31.5">
      <c r="C16" s="172"/>
      <c r="D16" s="25"/>
      <c r="E16" s="21" t="s">
        <v>115</v>
      </c>
      <c r="F16" s="419" t="s">
        <v>116</v>
      </c>
      <c r="G16" s="160"/>
      <c r="J16" s="160"/>
    </row>
    <row r="17" spans="2:10" ht="15.75">
      <c r="C17" s="404" t="s">
        <v>89</v>
      </c>
      <c r="D17" s="411" t="s">
        <v>267</v>
      </c>
      <c r="E17" s="405">
        <v>35000</v>
      </c>
      <c r="F17" s="406">
        <v>5500</v>
      </c>
      <c r="G17" s="160"/>
      <c r="H17" s="385" t="s">
        <v>264</v>
      </c>
      <c r="I17" s="264" t="s">
        <v>177</v>
      </c>
      <c r="J17" s="160"/>
    </row>
    <row r="18" spans="2:10" ht="15.75">
      <c r="C18" s="172"/>
      <c r="D18" s="389" t="s">
        <v>268</v>
      </c>
      <c r="E18" s="400">
        <f>D8*E17</f>
        <v>10500</v>
      </c>
      <c r="F18" s="396">
        <f>E8*F17</f>
        <v>896.5</v>
      </c>
      <c r="G18" s="160"/>
      <c r="H18" s="341" t="s">
        <v>263</v>
      </c>
      <c r="J18" s="160"/>
    </row>
    <row r="19" spans="2:10" ht="15.75">
      <c r="C19" s="172" t="s">
        <v>90</v>
      </c>
      <c r="D19" s="389" t="s">
        <v>271</v>
      </c>
      <c r="E19" s="400">
        <v>161</v>
      </c>
      <c r="F19" s="396">
        <v>80</v>
      </c>
      <c r="G19" s="160"/>
      <c r="H19" s="160"/>
      <c r="I19" s="160"/>
      <c r="J19" s="160"/>
    </row>
    <row r="20" spans="2:10" ht="31.5">
      <c r="C20" s="172"/>
      <c r="D20" s="389" t="s">
        <v>270</v>
      </c>
      <c r="E20" s="400">
        <v>46</v>
      </c>
      <c r="F20" s="396">
        <v>20</v>
      </c>
      <c r="G20" s="160"/>
      <c r="H20" s="395" t="s">
        <v>266</v>
      </c>
      <c r="I20" s="264" t="s">
        <v>177</v>
      </c>
      <c r="J20" s="160"/>
    </row>
    <row r="21" spans="2:10" ht="15.75">
      <c r="C21" s="172" t="s">
        <v>23</v>
      </c>
      <c r="D21" s="389" t="s">
        <v>269</v>
      </c>
      <c r="E21" s="401">
        <f>'Scenarios Output'!E28</f>
        <v>8</v>
      </c>
      <c r="F21" s="397">
        <f>'Scenarios Output'!E27</f>
        <v>2</v>
      </c>
      <c r="G21" s="160"/>
      <c r="H21" s="395" t="s">
        <v>264</v>
      </c>
      <c r="I21" s="385" t="s">
        <v>265</v>
      </c>
      <c r="J21" s="160"/>
    </row>
    <row r="22" spans="2:10" ht="16.5" thickBot="1">
      <c r="C22" s="407"/>
      <c r="D22" s="412"/>
      <c r="E22" s="408"/>
      <c r="F22" s="409"/>
      <c r="G22" s="160"/>
      <c r="H22" s="160"/>
      <c r="I22" s="160"/>
      <c r="J22" s="160"/>
    </row>
    <row r="23" spans="2:10" ht="16.5" thickTop="1">
      <c r="C23" s="84" t="s">
        <v>91</v>
      </c>
      <c r="D23" s="25" t="s">
        <v>277</v>
      </c>
      <c r="E23" s="403">
        <f>E20*E19*E17</f>
        <v>259210000</v>
      </c>
      <c r="F23" s="399">
        <f>F20*F19*F17</f>
        <v>8800000</v>
      </c>
      <c r="G23" s="160"/>
      <c r="H23" s="265" t="s">
        <v>184</v>
      </c>
      <c r="I23" s="160"/>
      <c r="J23" s="160"/>
    </row>
    <row r="24" spans="2:10" ht="15.75">
      <c r="C24" s="160"/>
      <c r="D24" s="25" t="s">
        <v>276</v>
      </c>
      <c r="E24" s="402">
        <f>PRODUCT(E18:E20)</f>
        <v>77763000</v>
      </c>
      <c r="F24" s="398">
        <f>PRODUCT(F18:F20)</f>
        <v>1434400</v>
      </c>
      <c r="G24" s="160"/>
      <c r="H24" s="265" t="s">
        <v>185</v>
      </c>
      <c r="I24" s="160"/>
      <c r="J24" s="160"/>
    </row>
    <row r="25" spans="2:10" ht="15.75">
      <c r="C25" s="160"/>
      <c r="D25" s="160"/>
      <c r="E25" s="160"/>
      <c r="F25" s="185"/>
      <c r="G25" s="285"/>
      <c r="H25" s="160"/>
      <c r="I25" s="160"/>
      <c r="J25" s="160"/>
    </row>
    <row r="26" spans="2:10" ht="15.75">
      <c r="G26" s="160"/>
      <c r="H26" s="160"/>
      <c r="I26" s="160"/>
      <c r="J26" s="160"/>
    </row>
    <row r="27" spans="2:10" ht="15.75">
      <c r="C27" s="264"/>
      <c r="D27" s="1"/>
      <c r="E27" s="1"/>
      <c r="H27" s="160"/>
      <c r="I27" s="160"/>
      <c r="J27" s="160"/>
    </row>
    <row r="28" spans="2:10" ht="15.75">
      <c r="B28" s="450"/>
      <c r="D28" s="261"/>
      <c r="E28" s="261"/>
      <c r="H28" s="160"/>
      <c r="I28" s="160"/>
    </row>
    <row r="29" spans="2:10">
      <c r="D29" s="262"/>
      <c r="E29" s="262"/>
    </row>
    <row r="30" spans="2:10">
      <c r="D30" s="262"/>
      <c r="E30" s="262"/>
    </row>
    <row r="31" spans="2:10">
      <c r="D31" s="262"/>
      <c r="E31" s="262"/>
    </row>
    <row r="32" spans="2:10">
      <c r="D32" s="262"/>
      <c r="E32" s="262"/>
    </row>
    <row r="34" spans="3:6">
      <c r="E34" s="262"/>
      <c r="F34" s="262"/>
    </row>
    <row r="36" spans="3:6">
      <c r="D36" s="293"/>
      <c r="E36" s="293"/>
      <c r="F36" s="293"/>
    </row>
    <row r="37" spans="3:6">
      <c r="F37" s="293"/>
    </row>
    <row r="38" spans="3:6">
      <c r="D38" s="188"/>
      <c r="E38" s="188"/>
      <c r="F38" s="188"/>
    </row>
    <row r="40" spans="3:6">
      <c r="C40" s="295"/>
      <c r="D40" s="262"/>
    </row>
    <row r="42" spans="3:6">
      <c r="D42" s="188"/>
      <c r="E42" s="188"/>
      <c r="F42" s="188"/>
    </row>
    <row r="44" spans="3:6">
      <c r="E44" s="294"/>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C2:P41"/>
  <sheetViews>
    <sheetView workbookViewId="0"/>
  </sheetViews>
  <sheetFormatPr defaultColWidth="11.42578125" defaultRowHeight="15"/>
  <cols>
    <col min="1" max="1" width="3.140625" customWidth="1"/>
    <col min="2" max="2" width="2.42578125" customWidth="1"/>
    <col min="3" max="3" width="35.85546875" customWidth="1"/>
    <col min="4" max="4" width="23.28515625" customWidth="1"/>
    <col min="5" max="5" width="19" customWidth="1"/>
    <col min="6" max="6" width="19.7109375" customWidth="1"/>
    <col min="7" max="7" width="20.28515625" customWidth="1"/>
    <col min="8" max="8" width="14.85546875" customWidth="1"/>
    <col min="9" max="9" width="30.42578125" customWidth="1"/>
    <col min="10" max="10" width="17.28515625" customWidth="1"/>
    <col min="11" max="11" width="20.7109375" customWidth="1"/>
    <col min="12" max="12" width="16" customWidth="1"/>
  </cols>
  <sheetData>
    <row r="2" spans="3:10">
      <c r="C2" s="3"/>
    </row>
    <row r="3" spans="3:10" ht="21">
      <c r="C3" s="7" t="s">
        <v>24</v>
      </c>
      <c r="D3" s="8"/>
      <c r="E3" s="8"/>
      <c r="F3" s="8"/>
      <c r="G3" s="8"/>
    </row>
    <row r="4" spans="3:10" ht="15.75">
      <c r="C4" s="8" t="s">
        <v>289</v>
      </c>
      <c r="D4" s="8"/>
      <c r="E4" s="8"/>
      <c r="F4" s="8"/>
      <c r="G4" s="8"/>
      <c r="H4" s="8"/>
      <c r="I4" s="8"/>
    </row>
    <row r="5" spans="3:10" ht="15.75">
      <c r="C5" s="8"/>
      <c r="D5" s="8"/>
      <c r="E5" s="8"/>
      <c r="F5" s="8"/>
      <c r="G5" s="8"/>
      <c r="H5" s="8"/>
      <c r="I5" s="8"/>
    </row>
    <row r="6" spans="3:10" ht="15.75">
      <c r="C6" s="10" t="s">
        <v>25</v>
      </c>
      <c r="D6" s="11" t="s">
        <v>26</v>
      </c>
      <c r="E6" s="10" t="s">
        <v>222</v>
      </c>
      <c r="F6" s="10" t="s">
        <v>293</v>
      </c>
      <c r="G6" s="10" t="s">
        <v>294</v>
      </c>
      <c r="H6" s="19"/>
      <c r="I6" s="272" t="s">
        <v>33</v>
      </c>
      <c r="J6" s="272" t="s">
        <v>34</v>
      </c>
    </row>
    <row r="7" spans="3:10" ht="15.75">
      <c r="C7" s="12"/>
      <c r="D7" s="14"/>
      <c r="E7" s="12"/>
      <c r="F7" s="14"/>
      <c r="G7" s="12"/>
      <c r="H7" s="19"/>
    </row>
    <row r="8" spans="3:10" ht="15.75">
      <c r="C8" s="12" t="s">
        <v>256</v>
      </c>
      <c r="D8" s="270" t="s">
        <v>178</v>
      </c>
      <c r="E8" s="279">
        <f>SUM('1.Process Cost-Benefit'!F11:F35)</f>
        <v>360000</v>
      </c>
      <c r="F8" s="99"/>
      <c r="G8" s="99"/>
      <c r="H8" s="267"/>
    </row>
    <row r="9" spans="3:10" ht="15.75">
      <c r="C9" s="268"/>
      <c r="D9" s="270" t="s">
        <v>179</v>
      </c>
      <c r="E9" s="279">
        <f>SUM('1.Process Cost-Benefit'!F38:F39)</f>
        <v>543750</v>
      </c>
      <c r="F9" s="279"/>
      <c r="G9" s="280"/>
      <c r="H9" s="266"/>
      <c r="I9" s="385" t="s">
        <v>287</v>
      </c>
      <c r="J9" s="385" t="s">
        <v>101</v>
      </c>
    </row>
    <row r="10" spans="3:10" ht="15.75">
      <c r="C10" s="268"/>
      <c r="D10" s="270"/>
      <c r="E10" s="282"/>
      <c r="F10" s="279"/>
      <c r="G10" s="280"/>
      <c r="H10" s="266"/>
    </row>
    <row r="11" spans="3:10" ht="15.75">
      <c r="C11" s="389" t="s">
        <v>290</v>
      </c>
      <c r="D11" s="270" t="s">
        <v>30</v>
      </c>
      <c r="F11" s="279">
        <f>SUM('1.Process Cost-Benefit'!G12+'1.Process Cost-Benefit'!G18+'1.Process Cost-Benefit'!G25+'1.Process Cost-Benefit'!G31)</f>
        <v>50400.000000000007</v>
      </c>
      <c r="G11" s="280"/>
      <c r="H11" s="266"/>
    </row>
    <row r="12" spans="3:10" ht="15.75">
      <c r="C12" s="268"/>
      <c r="D12" s="270" t="s">
        <v>180</v>
      </c>
      <c r="E12" s="279"/>
      <c r="F12" s="279">
        <f>10%*E23</f>
        <v>90375</v>
      </c>
      <c r="G12" s="280"/>
      <c r="H12" s="266"/>
      <c r="I12" s="311" t="s">
        <v>191</v>
      </c>
      <c r="J12" s="264" t="s">
        <v>177</v>
      </c>
    </row>
    <row r="13" spans="3:10" ht="31.5">
      <c r="C13" s="268"/>
      <c r="D13" s="271" t="s">
        <v>182</v>
      </c>
      <c r="E13" s="281"/>
      <c r="F13" s="279">
        <f>10%*E23</f>
        <v>90375</v>
      </c>
      <c r="G13" s="280"/>
      <c r="H13" s="266"/>
      <c r="I13" s="319" t="s">
        <v>192</v>
      </c>
      <c r="J13" s="264" t="s">
        <v>177</v>
      </c>
    </row>
    <row r="14" spans="3:10" ht="15.75">
      <c r="C14" s="268"/>
      <c r="D14" s="270" t="s">
        <v>181</v>
      </c>
      <c r="E14" s="279"/>
      <c r="F14" s="279">
        <f>'1.Process Cost-Benefit'!G37</f>
        <v>109400</v>
      </c>
      <c r="G14" s="280"/>
      <c r="H14" s="266"/>
    </row>
    <row r="15" spans="3:10" ht="15.75">
      <c r="C15" s="268"/>
      <c r="D15" s="270"/>
      <c r="E15" s="279"/>
      <c r="F15" s="279"/>
      <c r="G15" s="280"/>
      <c r="H15" s="266"/>
    </row>
    <row r="16" spans="3:10" ht="14.1" customHeight="1">
      <c r="C16" s="389" t="s">
        <v>291</v>
      </c>
      <c r="D16" s="270" t="s">
        <v>1</v>
      </c>
      <c r="E16" s="279"/>
      <c r="F16" s="279">
        <f>'1.Process Cost-Benefit'!H13</f>
        <v>215160</v>
      </c>
      <c r="G16" s="280"/>
      <c r="H16" s="266"/>
    </row>
    <row r="17" spans="3:10" ht="15.75">
      <c r="C17" s="268"/>
      <c r="D17" s="270" t="s">
        <v>22</v>
      </c>
      <c r="E17" s="279"/>
      <c r="F17" s="279">
        <f>SUM('1.Process Cost-Benefit'!H15+'1.Process Cost-Benefit'!H20+'1.Process Cost-Benefit'!H27+'1.Process Cost-Benefit'!H33)</f>
        <v>0</v>
      </c>
      <c r="G17" s="280"/>
      <c r="H17" s="266"/>
    </row>
    <row r="18" spans="3:10" ht="15.75">
      <c r="C18" s="268"/>
      <c r="D18" s="270" t="s">
        <v>21</v>
      </c>
      <c r="E18" s="279"/>
      <c r="F18" s="279">
        <f>SUM('1.Process Cost-Benefit'!H14+'1.Process Cost-Benefit'!H19+'1.Process Cost-Benefit'!H32+'1.Process Cost-Benefit'!H26)</f>
        <v>167105.66399999999</v>
      </c>
      <c r="G18" s="280"/>
      <c r="H18" s="266"/>
    </row>
    <row r="19" spans="3:10" ht="15.75">
      <c r="C19" s="268"/>
      <c r="D19" s="270"/>
      <c r="E19" s="279"/>
      <c r="F19" s="279"/>
      <c r="G19" s="13"/>
      <c r="H19" s="266"/>
    </row>
    <row r="20" spans="3:10" ht="15.75">
      <c r="C20" s="389" t="s">
        <v>292</v>
      </c>
      <c r="D20" s="270" t="s">
        <v>4</v>
      </c>
      <c r="E20" s="279"/>
      <c r="F20" s="279"/>
      <c r="G20" s="280">
        <f>'1.Process Cost-Benefit'!I34</f>
        <v>115033.59999999999</v>
      </c>
      <c r="H20" s="266"/>
    </row>
    <row r="21" spans="3:10" ht="15.75">
      <c r="C21" s="268"/>
      <c r="D21" s="270" t="s">
        <v>183</v>
      </c>
      <c r="E21" s="279"/>
      <c r="F21" s="279"/>
      <c r="G21" s="280">
        <f>'1.Process Cost-Benefit'!I21</f>
        <v>105600</v>
      </c>
      <c r="H21" s="266"/>
    </row>
    <row r="22" spans="3:10" ht="16.5" thickBot="1">
      <c r="C22" s="438"/>
      <c r="D22" s="439"/>
      <c r="E22" s="440"/>
      <c r="F22" s="440"/>
      <c r="G22" s="441"/>
      <c r="H22" s="19"/>
    </row>
    <row r="23" spans="3:10" ht="16.5" thickTop="1">
      <c r="C23" s="436" t="s">
        <v>31</v>
      </c>
      <c r="D23" s="436"/>
      <c r="E23" s="437">
        <f>SUM(E8:E9)</f>
        <v>903750</v>
      </c>
      <c r="F23" s="437">
        <f>SUM(F7:F22)</f>
        <v>722815.66399999999</v>
      </c>
      <c r="G23" s="437">
        <f>SUM(G7:G22)</f>
        <v>220633.59999999998</v>
      </c>
      <c r="H23" s="269"/>
    </row>
    <row r="24" spans="3:10" ht="15.75">
      <c r="C24" s="5"/>
      <c r="D24" s="19"/>
      <c r="E24" s="19"/>
      <c r="F24" s="101"/>
      <c r="G24" s="101"/>
      <c r="H24" s="101"/>
    </row>
    <row r="25" spans="3:10" ht="15.75">
      <c r="C25" s="35" t="s">
        <v>230</v>
      </c>
      <c r="D25" s="121">
        <f>G23</f>
        <v>220633.59999999998</v>
      </c>
      <c r="E25" s="104"/>
      <c r="F25" s="19"/>
      <c r="G25" s="19"/>
      <c r="H25" s="19"/>
      <c r="I25" s="19"/>
      <c r="J25" s="8"/>
    </row>
    <row r="26" spans="3:10" ht="31.5">
      <c r="C26" s="367" t="s">
        <v>286</v>
      </c>
      <c r="D26" s="104">
        <f>G23-F23</f>
        <v>-502182.06400000001</v>
      </c>
      <c r="E26" s="105"/>
    </row>
    <row r="27" spans="3:10" ht="15.75">
      <c r="C27" s="51" t="s">
        <v>258</v>
      </c>
      <c r="D27" s="105">
        <f>E23</f>
        <v>903750</v>
      </c>
      <c r="E27" s="106"/>
    </row>
    <row r="29" spans="3:10" ht="15.75">
      <c r="C29" s="107"/>
    </row>
    <row r="37" spans="3:16" ht="15.75">
      <c r="C37" s="160"/>
      <c r="D37" s="160"/>
      <c r="E37" s="160"/>
      <c r="F37" s="160"/>
      <c r="G37" s="160"/>
      <c r="H37" s="160"/>
      <c r="I37" s="160"/>
      <c r="J37" s="160"/>
      <c r="K37" s="160"/>
      <c r="L37" s="160"/>
      <c r="M37" s="160"/>
      <c r="N37" s="160"/>
      <c r="O37" s="160"/>
      <c r="P37" s="160"/>
    </row>
    <row r="38" spans="3:16" ht="15.75">
      <c r="C38" s="160"/>
      <c r="D38" s="160"/>
      <c r="E38" s="160"/>
      <c r="F38" s="160"/>
      <c r="G38" s="160"/>
      <c r="H38" s="160"/>
      <c r="I38" s="160"/>
      <c r="J38" s="160"/>
      <c r="K38" s="160"/>
      <c r="L38" s="160"/>
      <c r="M38" s="160"/>
      <c r="N38" s="160"/>
      <c r="O38" s="160"/>
      <c r="P38" s="160"/>
    </row>
    <row r="39" spans="3:16" ht="15.75">
      <c r="C39" s="160"/>
      <c r="D39" s="160"/>
      <c r="E39" s="160"/>
      <c r="F39" s="160"/>
      <c r="G39" s="160"/>
      <c r="H39" s="160"/>
      <c r="I39" s="160"/>
      <c r="J39" s="160"/>
      <c r="K39" s="160"/>
      <c r="L39" s="160"/>
      <c r="M39" s="160"/>
      <c r="N39" s="160"/>
      <c r="O39" s="160"/>
      <c r="P39" s="160"/>
    </row>
    <row r="40" spans="3:16" ht="15.75">
      <c r="C40" s="160"/>
      <c r="D40" s="160"/>
      <c r="E40" s="160"/>
      <c r="F40" s="161"/>
      <c r="G40" s="161"/>
      <c r="H40" s="161"/>
      <c r="I40" s="161"/>
      <c r="J40" s="161"/>
      <c r="K40" s="160"/>
      <c r="L40" s="160"/>
      <c r="M40" s="160"/>
      <c r="N40" s="160"/>
      <c r="O40" s="160"/>
      <c r="P40" s="160"/>
    </row>
    <row r="41" spans="3:16" ht="15.75">
      <c r="C41" s="160"/>
      <c r="D41" s="160"/>
      <c r="E41" s="160"/>
      <c r="F41" s="160"/>
      <c r="G41" s="160"/>
      <c r="H41" s="160"/>
      <c r="I41" s="160"/>
      <c r="J41" s="160"/>
      <c r="K41" s="160"/>
      <c r="L41" s="160"/>
      <c r="M41" s="160"/>
      <c r="N41" s="160"/>
      <c r="O41" s="160"/>
      <c r="P41" s="160"/>
    </row>
  </sheetData>
  <conditionalFormatting sqref="E25 D26">
    <cfRule type="colorScale" priority="2">
      <colorScale>
        <cfvo type="num" val="&quot;&lt;0&quot;"/>
        <cfvo type="num" val="&quot;&gt;0&quot;"/>
        <color rgb="FFFF0000"/>
        <color theme="6" tint="0.39997558519241921"/>
      </colorScale>
    </cfRule>
  </conditionalFormatting>
  <conditionalFormatting sqref="D25:D27">
    <cfRule type="cellIs" dxfId="2" priority="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59999389629810485"/>
  </sheetPr>
  <dimension ref="B3:N54"/>
  <sheetViews>
    <sheetView workbookViewId="0"/>
  </sheetViews>
  <sheetFormatPr defaultColWidth="11.42578125" defaultRowHeight="15"/>
  <cols>
    <col min="1" max="1" width="2.7109375" customWidth="1"/>
    <col min="2" max="2" width="4.28515625" customWidth="1"/>
    <col min="3" max="3" width="46" customWidth="1"/>
    <col min="4" max="4" width="14.85546875" customWidth="1"/>
    <col min="5" max="5" width="16" customWidth="1"/>
    <col min="6" max="6" width="12.85546875" customWidth="1"/>
    <col min="7" max="7" width="13.85546875" customWidth="1"/>
    <col min="8" max="8" width="13.28515625" customWidth="1"/>
    <col min="9" max="9" width="13.7109375" customWidth="1"/>
    <col min="10" max="10" width="14" customWidth="1"/>
    <col min="11" max="11" width="12.42578125" customWidth="1"/>
    <col min="13" max="13" width="11.140625" bestFit="1" customWidth="1"/>
  </cols>
  <sheetData>
    <row r="3" spans="2:13" ht="21">
      <c r="C3" s="113" t="s">
        <v>105</v>
      </c>
      <c r="D3" s="113"/>
    </row>
    <row r="4" spans="2:13" ht="18.75">
      <c r="C4" s="628" t="s">
        <v>232</v>
      </c>
      <c r="D4" s="321"/>
    </row>
    <row r="5" spans="2:13" ht="15.75">
      <c r="C5" s="35"/>
      <c r="D5" s="35"/>
      <c r="M5" s="35" t="s">
        <v>33</v>
      </c>
    </row>
    <row r="6" spans="2:13" ht="15.75">
      <c r="D6" s="357" t="s">
        <v>252</v>
      </c>
      <c r="E6" s="357" t="s">
        <v>223</v>
      </c>
      <c r="F6" s="357" t="s">
        <v>224</v>
      </c>
      <c r="G6" s="357" t="s">
        <v>225</v>
      </c>
      <c r="H6" s="358" t="s">
        <v>226</v>
      </c>
      <c r="I6" s="358" t="s">
        <v>227</v>
      </c>
      <c r="J6" s="358" t="s">
        <v>228</v>
      </c>
      <c r="K6" s="358" t="s">
        <v>229</v>
      </c>
      <c r="L6" s="160"/>
    </row>
    <row r="7" spans="2:13" ht="15.75">
      <c r="B7" s="16"/>
      <c r="C7" s="35" t="s">
        <v>230</v>
      </c>
      <c r="D7" s="596">
        <v>0</v>
      </c>
      <c r="E7" s="597">
        <f>'1.Output'!$G$23</f>
        <v>220633.59999999998</v>
      </c>
      <c r="F7" s="597">
        <f>'1.Output'!$G$23</f>
        <v>220633.59999999998</v>
      </c>
      <c r="G7" s="597">
        <f>'1.Output'!$G$23</f>
        <v>220633.59999999998</v>
      </c>
      <c r="H7" s="597">
        <f>'1.Output'!$G$23</f>
        <v>220633.59999999998</v>
      </c>
      <c r="I7" s="597">
        <f>'1.Output'!$G$23</f>
        <v>220633.59999999998</v>
      </c>
      <c r="J7" s="597">
        <f>'1.Output'!$G$23</f>
        <v>220633.59999999998</v>
      </c>
      <c r="K7" s="597">
        <f>'1.Output'!$G$23</f>
        <v>220633.59999999998</v>
      </c>
      <c r="L7" s="160"/>
    </row>
    <row r="8" spans="2:13" ht="15.75">
      <c r="B8" s="16"/>
      <c r="C8" s="35"/>
      <c r="D8" s="340"/>
      <c r="E8" s="597"/>
      <c r="F8" s="598"/>
      <c r="G8" s="599"/>
      <c r="H8" s="600"/>
      <c r="I8" s="600"/>
      <c r="J8" s="600"/>
      <c r="K8" s="600"/>
      <c r="L8" s="160"/>
    </row>
    <row r="9" spans="2:13" ht="15.75">
      <c r="B9" s="16"/>
      <c r="C9" s="162" t="s">
        <v>107</v>
      </c>
      <c r="D9" s="601"/>
      <c r="E9" s="602">
        <f>-SUM('1.Output'!$F$16)</f>
        <v>-215160</v>
      </c>
      <c r="F9" s="602">
        <f>-SUM('1.Output'!$F$16)</f>
        <v>-215160</v>
      </c>
      <c r="G9" s="602">
        <f>-SUM('1.Output'!$F$16)</f>
        <v>-215160</v>
      </c>
      <c r="H9" s="602">
        <f>-SUM('1.Output'!$F$16)</f>
        <v>-215160</v>
      </c>
      <c r="I9" s="602">
        <f>-SUM('1.Output'!$F$16)</f>
        <v>-215160</v>
      </c>
      <c r="J9" s="602">
        <f>-SUM('1.Output'!$F$16)</f>
        <v>-215160</v>
      </c>
      <c r="K9" s="602">
        <f>-SUM('1.Output'!$F$16)</f>
        <v>-215160</v>
      </c>
      <c r="L9" s="160"/>
    </row>
    <row r="10" spans="2:13" ht="16.5" thickBot="1">
      <c r="C10" s="331" t="s">
        <v>110</v>
      </c>
      <c r="D10" s="603"/>
      <c r="E10" s="604">
        <f>E7+E9</f>
        <v>5473.5999999999767</v>
      </c>
      <c r="F10" s="604">
        <f t="shared" ref="F10:K10" si="0">F7+F9</f>
        <v>5473.5999999999767</v>
      </c>
      <c r="G10" s="604">
        <f t="shared" si="0"/>
        <v>5473.5999999999767</v>
      </c>
      <c r="H10" s="604">
        <f t="shared" si="0"/>
        <v>5473.5999999999767</v>
      </c>
      <c r="I10" s="604">
        <f t="shared" si="0"/>
        <v>5473.5999999999767</v>
      </c>
      <c r="J10" s="604">
        <f t="shared" si="0"/>
        <v>5473.5999999999767</v>
      </c>
      <c r="K10" s="604">
        <f t="shared" si="0"/>
        <v>5473.5999999999767</v>
      </c>
      <c r="L10" s="160"/>
    </row>
    <row r="11" spans="2:13" ht="16.5" thickTop="1">
      <c r="C11" s="84"/>
      <c r="D11" s="605"/>
      <c r="E11" s="606"/>
      <c r="F11" s="607"/>
      <c r="G11" s="606"/>
      <c r="H11" s="608"/>
      <c r="I11" s="608"/>
      <c r="J11" s="609"/>
      <c r="K11" s="608"/>
      <c r="L11" s="160"/>
    </row>
    <row r="12" spans="2:13" ht="15.75">
      <c r="C12" s="162" t="s">
        <v>108</v>
      </c>
      <c r="D12" s="601"/>
      <c r="E12" s="602">
        <f>-SUM('1.Output'!F12+'1.Output'!F13+'1.Output'!F14+'1.Output'!F18+'1.Output'!F17)</f>
        <v>-457255.66399999999</v>
      </c>
      <c r="F12" s="600">
        <f>-SUM('1.Output'!$F$12+'1.Output'!$F$14+'1.Output'!$F$17+'1.Output'!$F$18)</f>
        <v>-366880.66399999999</v>
      </c>
      <c r="G12" s="600">
        <f>-SUM('1.Output'!$F$12+'1.Output'!$F$14+'1.Output'!$F$17+'1.Output'!$F$18)</f>
        <v>-366880.66399999999</v>
      </c>
      <c r="H12" s="600">
        <f>-SUM('1.Output'!$F$12+'1.Output'!$F$14+'1.Output'!$F$17+'1.Output'!$F$18)</f>
        <v>-366880.66399999999</v>
      </c>
      <c r="I12" s="600">
        <f>-SUM('1.Output'!$F$12+'1.Output'!$F$14+'1.Output'!$F$17+'1.Output'!$F$18)</f>
        <v>-366880.66399999999</v>
      </c>
      <c r="J12" s="600">
        <f>-SUM('1.Output'!$F$12+'1.Output'!$F$14+'1.Output'!$F$17+'1.Output'!$F$18)</f>
        <v>-366880.66399999999</v>
      </c>
      <c r="K12" s="600">
        <f>-SUM('1.Output'!$F$12+'1.Output'!$F$14+'1.Output'!$F$17+'1.Output'!$F$18)</f>
        <v>-366880.66399999999</v>
      </c>
      <c r="L12" s="160"/>
    </row>
    <row r="13" spans="2:13" ht="16.5" thickBot="1">
      <c r="C13" s="331" t="s">
        <v>102</v>
      </c>
      <c r="D13" s="603"/>
      <c r="E13" s="604">
        <f>E10+E12</f>
        <v>-451782.06400000001</v>
      </c>
      <c r="F13" s="604">
        <f t="shared" ref="F13:K13" si="1">F10+F12</f>
        <v>-361407.06400000001</v>
      </c>
      <c r="G13" s="604">
        <f t="shared" si="1"/>
        <v>-361407.06400000001</v>
      </c>
      <c r="H13" s="604">
        <f t="shared" si="1"/>
        <v>-361407.06400000001</v>
      </c>
      <c r="I13" s="604">
        <f t="shared" si="1"/>
        <v>-361407.06400000001</v>
      </c>
      <c r="J13" s="604">
        <f t="shared" si="1"/>
        <v>-361407.06400000001</v>
      </c>
      <c r="K13" s="604">
        <f t="shared" si="1"/>
        <v>-361407.06400000001</v>
      </c>
      <c r="L13" s="160"/>
    </row>
    <row r="14" spans="2:13" ht="16.5" thickTop="1">
      <c r="C14" s="84"/>
      <c r="D14" s="605"/>
      <c r="E14" s="606"/>
      <c r="F14" s="607"/>
      <c r="G14" s="606"/>
      <c r="H14" s="608"/>
      <c r="I14" s="608"/>
      <c r="J14" s="609"/>
      <c r="K14" s="608"/>
      <c r="L14" s="160"/>
    </row>
    <row r="15" spans="2:13" ht="15.75">
      <c r="C15" s="162" t="s">
        <v>109</v>
      </c>
      <c r="D15" s="601"/>
      <c r="E15" s="602">
        <f>-'1.Output'!$F$11</f>
        <v>-50400.000000000007</v>
      </c>
      <c r="F15" s="602">
        <f>-'1.Output'!$F$11</f>
        <v>-50400.000000000007</v>
      </c>
      <c r="G15" s="602">
        <f>-'1.Output'!$F$11</f>
        <v>-50400.000000000007</v>
      </c>
      <c r="H15" s="602">
        <f>-'1.Output'!$F$11</f>
        <v>-50400.000000000007</v>
      </c>
      <c r="I15" s="602">
        <f>-'1.Output'!$F$11</f>
        <v>-50400.000000000007</v>
      </c>
      <c r="J15" s="602">
        <f>-'1.Output'!$F$11</f>
        <v>-50400.000000000007</v>
      </c>
      <c r="K15" s="602">
        <f>-'1.Output'!$F$11</f>
        <v>-50400.000000000007</v>
      </c>
      <c r="L15" s="160"/>
    </row>
    <row r="16" spans="2:13" ht="16.5" thickBot="1">
      <c r="C16" s="331" t="s">
        <v>103</v>
      </c>
      <c r="D16" s="603"/>
      <c r="E16" s="604">
        <f>E13+E15</f>
        <v>-502182.06400000001</v>
      </c>
      <c r="F16" s="604">
        <f t="shared" ref="F16:K16" si="2">F13+F15</f>
        <v>-411807.06400000001</v>
      </c>
      <c r="G16" s="604">
        <f t="shared" si="2"/>
        <v>-411807.06400000001</v>
      </c>
      <c r="H16" s="604">
        <f t="shared" si="2"/>
        <v>-411807.06400000001</v>
      </c>
      <c r="I16" s="604">
        <f t="shared" si="2"/>
        <v>-411807.06400000001</v>
      </c>
      <c r="J16" s="604">
        <f t="shared" si="2"/>
        <v>-411807.06400000001</v>
      </c>
      <c r="K16" s="604">
        <f t="shared" si="2"/>
        <v>-411807.06400000001</v>
      </c>
      <c r="L16" s="160"/>
    </row>
    <row r="17" spans="2:14" ht="16.5" thickTop="1">
      <c r="C17" s="84"/>
      <c r="D17" s="605"/>
      <c r="E17" s="606"/>
      <c r="F17" s="607"/>
      <c r="G17" s="608"/>
      <c r="H17" s="610"/>
      <c r="I17" s="611"/>
      <c r="J17" s="609"/>
      <c r="K17" s="608"/>
      <c r="L17" s="160"/>
    </row>
    <row r="18" spans="2:14" ht="15.75">
      <c r="C18" s="290" t="s">
        <v>111</v>
      </c>
      <c r="D18" s="612"/>
      <c r="E18" s="613">
        <v>0</v>
      </c>
      <c r="F18" s="613">
        <v>0</v>
      </c>
      <c r="G18" s="613">
        <v>0</v>
      </c>
      <c r="H18" s="613">
        <v>0</v>
      </c>
      <c r="I18" s="613">
        <v>0</v>
      </c>
      <c r="J18" s="613">
        <v>0</v>
      </c>
      <c r="K18" s="613">
        <v>0</v>
      </c>
      <c r="L18" s="160"/>
      <c r="M18" s="311" t="s">
        <v>245</v>
      </c>
    </row>
    <row r="19" spans="2:14" ht="16.5" thickBot="1">
      <c r="C19" s="337" t="s">
        <v>104</v>
      </c>
      <c r="D19" s="614"/>
      <c r="E19" s="615">
        <f>E16+E18</f>
        <v>-502182.06400000001</v>
      </c>
      <c r="F19" s="615">
        <f t="shared" ref="F19:K19" si="3">F16+F18</f>
        <v>-411807.06400000001</v>
      </c>
      <c r="G19" s="615">
        <f t="shared" si="3"/>
        <v>-411807.06400000001</v>
      </c>
      <c r="H19" s="615">
        <f t="shared" si="3"/>
        <v>-411807.06400000001</v>
      </c>
      <c r="I19" s="615">
        <f t="shared" si="3"/>
        <v>-411807.06400000001</v>
      </c>
      <c r="J19" s="615">
        <f t="shared" si="3"/>
        <v>-411807.06400000001</v>
      </c>
      <c r="K19" s="615">
        <f t="shared" si="3"/>
        <v>-411807.06400000001</v>
      </c>
      <c r="L19" s="160"/>
    </row>
    <row r="20" spans="2:14" ht="16.5" thickTop="1">
      <c r="C20" s="338"/>
      <c r="D20" s="616"/>
      <c r="E20" s="617"/>
      <c r="F20" s="618"/>
      <c r="G20" s="618"/>
      <c r="H20" s="618"/>
      <c r="I20" s="618"/>
      <c r="J20" s="618"/>
      <c r="K20" s="618"/>
      <c r="L20" s="160"/>
    </row>
    <row r="21" spans="2:14" ht="15.75">
      <c r="B21" s="223"/>
      <c r="C21" s="328" t="s">
        <v>246</v>
      </c>
      <c r="D21" s="612"/>
      <c r="E21" s="324">
        <f t="shared" ref="E21:K21" si="4">-IF(E19&gt;200000,25%*(E19-200000)+40000,IF(E19&gt;0, 20%*E19,"0"))</f>
        <v>0</v>
      </c>
      <c r="F21" s="324">
        <f t="shared" si="4"/>
        <v>0</v>
      </c>
      <c r="G21" s="324">
        <f t="shared" si="4"/>
        <v>0</v>
      </c>
      <c r="H21" s="324">
        <f t="shared" si="4"/>
        <v>0</v>
      </c>
      <c r="I21" s="324">
        <f t="shared" si="4"/>
        <v>0</v>
      </c>
      <c r="J21" s="324">
        <f t="shared" si="4"/>
        <v>0</v>
      </c>
      <c r="K21" s="324">
        <f t="shared" si="4"/>
        <v>0</v>
      </c>
      <c r="L21" s="160"/>
      <c r="M21" s="311" t="s">
        <v>247</v>
      </c>
    </row>
    <row r="22" spans="2:14" ht="16.5" thickBot="1">
      <c r="B22" s="223"/>
      <c r="C22" s="337" t="s">
        <v>304</v>
      </c>
      <c r="D22" s="619">
        <f>D7</f>
        <v>0</v>
      </c>
      <c r="E22" s="615">
        <f t="shared" ref="E22:K22" si="5">E19+E21</f>
        <v>-502182.06400000001</v>
      </c>
      <c r="F22" s="615">
        <f t="shared" si="5"/>
        <v>-411807.06400000001</v>
      </c>
      <c r="G22" s="615">
        <f t="shared" si="5"/>
        <v>-411807.06400000001</v>
      </c>
      <c r="H22" s="615">
        <f t="shared" si="5"/>
        <v>-411807.06400000001</v>
      </c>
      <c r="I22" s="615">
        <f t="shared" si="5"/>
        <v>-411807.06400000001</v>
      </c>
      <c r="J22" s="615">
        <f t="shared" si="5"/>
        <v>-411807.06400000001</v>
      </c>
      <c r="K22" s="615">
        <f t="shared" si="5"/>
        <v>-411807.06400000001</v>
      </c>
      <c r="L22" s="160"/>
    </row>
    <row r="23" spans="2:14" ht="16.5" thickTop="1">
      <c r="E23" s="287"/>
      <c r="F23" s="288"/>
      <c r="G23" s="288"/>
      <c r="H23" s="289"/>
      <c r="I23" s="289"/>
      <c r="J23" s="289"/>
      <c r="K23" s="288"/>
      <c r="L23" s="160"/>
      <c r="N23" s="188"/>
    </row>
    <row r="24" spans="2:14" ht="15.75">
      <c r="C24" s="286"/>
      <c r="D24" s="286"/>
      <c r="E24" s="287"/>
      <c r="F24" s="288"/>
      <c r="G24" s="288"/>
      <c r="H24" s="289"/>
      <c r="I24" s="289"/>
      <c r="J24" s="289"/>
      <c r="K24" s="288"/>
      <c r="L24" s="160"/>
      <c r="M24" s="360"/>
    </row>
    <row r="26" spans="2:14" ht="18.75">
      <c r="C26" s="322" t="s">
        <v>231</v>
      </c>
      <c r="D26" s="322"/>
      <c r="M26" s="361"/>
    </row>
    <row r="27" spans="2:14">
      <c r="M27" s="234"/>
    </row>
    <row r="28" spans="2:14" ht="15.75">
      <c r="D28" s="358" t="s">
        <v>252</v>
      </c>
      <c r="E28" s="358" t="s">
        <v>223</v>
      </c>
      <c r="F28" s="358" t="s">
        <v>224</v>
      </c>
      <c r="G28" s="358" t="s">
        <v>225</v>
      </c>
      <c r="H28" s="358" t="s">
        <v>226</v>
      </c>
      <c r="I28" s="358" t="s">
        <v>227</v>
      </c>
      <c r="J28" s="358" t="s">
        <v>228</v>
      </c>
      <c r="K28" s="358" t="s">
        <v>229</v>
      </c>
    </row>
    <row r="29" spans="2:14" ht="15.75">
      <c r="C29" s="35" t="s">
        <v>233</v>
      </c>
      <c r="D29" s="35"/>
      <c r="E29" s="120"/>
      <c r="F29" s="16"/>
      <c r="G29" s="35"/>
      <c r="H29" s="160"/>
      <c r="I29" s="160"/>
      <c r="J29" s="160"/>
      <c r="K29" s="160"/>
    </row>
    <row r="30" spans="2:14" ht="15.75">
      <c r="C30" s="327" t="s">
        <v>234</v>
      </c>
      <c r="D30" s="324">
        <f>0</f>
        <v>0</v>
      </c>
      <c r="E30" s="324">
        <f t="shared" ref="E30:K30" si="6">E22</f>
        <v>-502182.06400000001</v>
      </c>
      <c r="F30" s="324">
        <f t="shared" si="6"/>
        <v>-411807.06400000001</v>
      </c>
      <c r="G30" s="324">
        <f t="shared" si="6"/>
        <v>-411807.06400000001</v>
      </c>
      <c r="H30" s="324">
        <f t="shared" si="6"/>
        <v>-411807.06400000001</v>
      </c>
      <c r="I30" s="324">
        <f t="shared" si="6"/>
        <v>-411807.06400000001</v>
      </c>
      <c r="J30" s="324">
        <f t="shared" si="6"/>
        <v>-411807.06400000001</v>
      </c>
      <c r="K30" s="324">
        <f t="shared" si="6"/>
        <v>-411807.06400000001</v>
      </c>
      <c r="M30" s="234"/>
    </row>
    <row r="31" spans="2:14" ht="15.75">
      <c r="C31" s="329" t="s">
        <v>243</v>
      </c>
      <c r="D31" s="375"/>
      <c r="E31" s="325"/>
      <c r="F31" s="339"/>
      <c r="G31" s="340"/>
      <c r="H31" s="341"/>
      <c r="I31" s="341"/>
      <c r="J31" s="323"/>
      <c r="K31" s="341"/>
      <c r="M31" s="294"/>
    </row>
    <row r="32" spans="2:14" ht="15.75">
      <c r="C32" s="327" t="s">
        <v>30</v>
      </c>
      <c r="D32" s="324">
        <f>0</f>
        <v>0</v>
      </c>
      <c r="E32" s="324">
        <f t="shared" ref="E32:K32" si="7">-E15</f>
        <v>50400.000000000007</v>
      </c>
      <c r="F32" s="324">
        <f t="shared" si="7"/>
        <v>50400.000000000007</v>
      </c>
      <c r="G32" s="324">
        <f t="shared" si="7"/>
        <v>50400.000000000007</v>
      </c>
      <c r="H32" s="324">
        <f t="shared" si="7"/>
        <v>50400.000000000007</v>
      </c>
      <c r="I32" s="324">
        <f t="shared" si="7"/>
        <v>50400.000000000007</v>
      </c>
      <c r="J32" s="324">
        <f t="shared" si="7"/>
        <v>50400.000000000007</v>
      </c>
      <c r="K32" s="324">
        <f t="shared" si="7"/>
        <v>50400.000000000007</v>
      </c>
      <c r="L32" s="160"/>
      <c r="M32" s="234"/>
    </row>
    <row r="33" spans="2:13" ht="16.5" thickBot="1">
      <c r="C33" s="330" t="s">
        <v>235</v>
      </c>
      <c r="D33" s="342">
        <f>SUM(D30:D32)</f>
        <v>0</v>
      </c>
      <c r="E33" s="342">
        <f>SUM(E30:E32)</f>
        <v>-451782.06400000001</v>
      </c>
      <c r="F33" s="342">
        <f t="shared" ref="F33:K33" si="8">SUM(F30:F32)</f>
        <v>-361407.06400000001</v>
      </c>
      <c r="G33" s="342">
        <f t="shared" si="8"/>
        <v>-361407.06400000001</v>
      </c>
      <c r="H33" s="342">
        <f t="shared" si="8"/>
        <v>-361407.06400000001</v>
      </c>
      <c r="I33" s="342">
        <f t="shared" si="8"/>
        <v>-361407.06400000001</v>
      </c>
      <c r="J33" s="342">
        <f t="shared" si="8"/>
        <v>-361407.06400000001</v>
      </c>
      <c r="K33" s="342">
        <f t="shared" si="8"/>
        <v>-361407.06400000001</v>
      </c>
      <c r="L33" s="160"/>
      <c r="M33" s="234"/>
    </row>
    <row r="34" spans="2:13" ht="16.5" thickTop="1">
      <c r="C34" s="333"/>
      <c r="D34" s="369"/>
      <c r="E34" s="351"/>
      <c r="F34" s="343"/>
      <c r="G34" s="344"/>
      <c r="H34" s="344"/>
      <c r="I34" s="344"/>
      <c r="J34" s="352"/>
      <c r="K34" s="344"/>
      <c r="L34" s="160"/>
      <c r="M34" s="234"/>
    </row>
    <row r="35" spans="2:13" ht="15.75">
      <c r="C35" s="51" t="s">
        <v>236</v>
      </c>
      <c r="D35" s="370"/>
      <c r="E35" s="324"/>
      <c r="F35" s="341"/>
      <c r="G35" s="341"/>
      <c r="H35" s="341"/>
      <c r="I35" s="341"/>
      <c r="J35" s="324"/>
      <c r="K35" s="341"/>
      <c r="L35" s="160"/>
      <c r="M35" s="234"/>
    </row>
    <row r="36" spans="2:13" ht="15.75">
      <c r="C36" s="327" t="s">
        <v>237</v>
      </c>
      <c r="D36" s="349">
        <f>-'1.Output'!E23</f>
        <v>-903750</v>
      </c>
      <c r="E36" s="362">
        <v>0</v>
      </c>
      <c r="F36" s="362">
        <v>0</v>
      </c>
      <c r="G36" s="362">
        <v>0</v>
      </c>
      <c r="H36" s="362">
        <v>0</v>
      </c>
      <c r="I36" s="362">
        <v>0</v>
      </c>
      <c r="J36" s="362">
        <v>0</v>
      </c>
      <c r="K36" s="362">
        <v>0</v>
      </c>
      <c r="L36" s="160"/>
      <c r="M36" s="234"/>
    </row>
    <row r="37" spans="2:13" ht="16.5" thickBot="1">
      <c r="C37" s="332" t="s">
        <v>238</v>
      </c>
      <c r="D37" s="350">
        <f>SUM(D36)</f>
        <v>-903750</v>
      </c>
      <c r="E37" s="350">
        <f t="shared" ref="E37" si="9">SUM(E36)</f>
        <v>0</v>
      </c>
      <c r="F37" s="350">
        <f t="shared" ref="F37:K37" si="10">SUM(F36)</f>
        <v>0</v>
      </c>
      <c r="G37" s="350">
        <f t="shared" si="10"/>
        <v>0</v>
      </c>
      <c r="H37" s="350">
        <f t="shared" si="10"/>
        <v>0</v>
      </c>
      <c r="I37" s="350">
        <f t="shared" si="10"/>
        <v>0</v>
      </c>
      <c r="J37" s="350">
        <f t="shared" si="10"/>
        <v>0</v>
      </c>
      <c r="K37" s="350">
        <f t="shared" si="10"/>
        <v>0</v>
      </c>
      <c r="L37" s="160"/>
      <c r="M37" s="234"/>
    </row>
    <row r="38" spans="2:13" ht="16.5" thickTop="1">
      <c r="C38" s="334"/>
      <c r="D38" s="371"/>
      <c r="E38" s="345"/>
      <c r="F38" s="345"/>
      <c r="G38" s="345"/>
      <c r="H38" s="346"/>
      <c r="I38" s="347"/>
      <c r="J38" s="348"/>
      <c r="K38" s="345"/>
      <c r="L38" s="160"/>
      <c r="M38" s="234"/>
    </row>
    <row r="39" spans="2:13" ht="15.75">
      <c r="C39" s="286" t="s">
        <v>239</v>
      </c>
      <c r="D39" s="372"/>
      <c r="E39" s="353"/>
      <c r="F39" s="326"/>
      <c r="G39" s="326"/>
      <c r="H39" s="326"/>
      <c r="I39" s="326"/>
      <c r="J39" s="326"/>
      <c r="K39" s="326"/>
      <c r="L39" s="160"/>
      <c r="M39" s="234"/>
    </row>
    <row r="40" spans="2:13" ht="15.75">
      <c r="C40" s="328" t="s">
        <v>240</v>
      </c>
      <c r="D40" s="354">
        <v>0</v>
      </c>
      <c r="E40" s="354">
        <v>0</v>
      </c>
      <c r="F40" s="354">
        <v>0</v>
      </c>
      <c r="G40" s="354">
        <v>0</v>
      </c>
      <c r="H40" s="354">
        <v>0</v>
      </c>
      <c r="I40" s="354">
        <v>0</v>
      </c>
      <c r="J40" s="354">
        <v>0</v>
      </c>
      <c r="K40" s="354">
        <v>0</v>
      </c>
      <c r="L40" s="160"/>
      <c r="M40" s="294"/>
    </row>
    <row r="41" spans="2:13" ht="15.75">
      <c r="C41" s="328" t="s">
        <v>241</v>
      </c>
      <c r="D41" s="354">
        <v>0</v>
      </c>
      <c r="E41" s="354">
        <v>0</v>
      </c>
      <c r="F41" s="354">
        <v>0</v>
      </c>
      <c r="G41" s="354">
        <v>0</v>
      </c>
      <c r="H41" s="354">
        <v>0</v>
      </c>
      <c r="I41" s="354">
        <v>0</v>
      </c>
      <c r="J41" s="354">
        <v>0</v>
      </c>
      <c r="K41" s="354">
        <v>0</v>
      </c>
      <c r="L41" s="160"/>
      <c r="M41" s="234"/>
    </row>
    <row r="42" spans="2:13" ht="16.5" thickBot="1">
      <c r="B42" s="160"/>
      <c r="C42" s="332" t="s">
        <v>242</v>
      </c>
      <c r="D42" s="355">
        <f>SUM(D40:D41)</f>
        <v>0</v>
      </c>
      <c r="E42" s="355">
        <f>SUM(E40:E41)</f>
        <v>0</v>
      </c>
      <c r="F42" s="355">
        <f t="shared" ref="F42:K42" si="11">SUM(F40:F41)</f>
        <v>0</v>
      </c>
      <c r="G42" s="355">
        <f t="shared" si="11"/>
        <v>0</v>
      </c>
      <c r="H42" s="355">
        <f t="shared" si="11"/>
        <v>0</v>
      </c>
      <c r="I42" s="355">
        <f t="shared" si="11"/>
        <v>0</v>
      </c>
      <c r="J42" s="355">
        <f t="shared" si="11"/>
        <v>0</v>
      </c>
      <c r="K42" s="355">
        <f t="shared" si="11"/>
        <v>0</v>
      </c>
      <c r="L42" s="160"/>
    </row>
    <row r="43" spans="2:13" ht="16.5" thickTop="1">
      <c r="B43" s="160"/>
      <c r="C43" s="334"/>
      <c r="D43" s="371"/>
      <c r="E43" s="345"/>
      <c r="F43" s="345"/>
      <c r="G43" s="345"/>
      <c r="H43" s="345"/>
      <c r="I43" s="345"/>
      <c r="J43" s="345"/>
      <c r="K43" s="345"/>
      <c r="L43" s="160"/>
      <c r="M43" s="293"/>
    </row>
    <row r="44" spans="2:13" ht="16.5" thickBot="1">
      <c r="C44" s="335" t="s">
        <v>244</v>
      </c>
      <c r="D44" s="356">
        <f>SUM(D42+D37+D33)</f>
        <v>-903750</v>
      </c>
      <c r="E44" s="356">
        <f>SUM(E42+E37+E33)</f>
        <v>-451782.06400000001</v>
      </c>
      <c r="F44" s="356">
        <f t="shared" ref="F44:K44" si="12">SUM(F42+F37+F33)</f>
        <v>-361407.06400000001</v>
      </c>
      <c r="G44" s="356">
        <f t="shared" si="12"/>
        <v>-361407.06400000001</v>
      </c>
      <c r="H44" s="356">
        <f t="shared" si="12"/>
        <v>-361407.06400000001</v>
      </c>
      <c r="I44" s="356">
        <f t="shared" si="12"/>
        <v>-361407.06400000001</v>
      </c>
      <c r="J44" s="356">
        <f t="shared" si="12"/>
        <v>-361407.06400000001</v>
      </c>
      <c r="K44" s="356">
        <f t="shared" si="12"/>
        <v>-361407.06400000001</v>
      </c>
      <c r="L44" s="160"/>
    </row>
    <row r="45" spans="2:13" ht="16.5" thickTop="1">
      <c r="C45" s="336"/>
      <c r="D45" s="373"/>
      <c r="E45" s="291"/>
      <c r="F45" s="291"/>
      <c r="G45" s="291"/>
      <c r="H45" s="291"/>
      <c r="I45" s="291"/>
      <c r="J45" s="291"/>
      <c r="K45" s="291"/>
      <c r="L45" s="160"/>
    </row>
    <row r="46" spans="2:13" ht="15.75">
      <c r="C46" s="35" t="s">
        <v>248</v>
      </c>
      <c r="D46" s="359">
        <f>D44</f>
        <v>-903750</v>
      </c>
      <c r="E46" s="287">
        <f>D46+E44</f>
        <v>-1355532.064</v>
      </c>
      <c r="F46" s="287">
        <f t="shared" ref="F46:K46" si="13">E46+F44</f>
        <v>-1716939.128</v>
      </c>
      <c r="G46" s="287">
        <f t="shared" si="13"/>
        <v>-2078346.192</v>
      </c>
      <c r="H46" s="287">
        <f t="shared" si="13"/>
        <v>-2439753.2560000001</v>
      </c>
      <c r="I46" s="287">
        <f t="shared" si="13"/>
        <v>-2801160.3200000003</v>
      </c>
      <c r="J46" s="287">
        <f t="shared" si="13"/>
        <v>-3162567.3840000005</v>
      </c>
      <c r="K46" s="287">
        <f t="shared" si="13"/>
        <v>-3523974.4480000008</v>
      </c>
      <c r="L46" s="160"/>
    </row>
    <row r="47" spans="2:13" ht="15.75">
      <c r="D47" s="374"/>
      <c r="E47" s="292"/>
      <c r="F47" s="288"/>
      <c r="G47" s="288"/>
      <c r="H47" s="289"/>
      <c r="I47" s="289"/>
      <c r="J47" s="289"/>
      <c r="K47" s="288"/>
      <c r="L47" s="160"/>
    </row>
    <row r="48" spans="2:13" ht="15.75">
      <c r="C48" s="363" t="s">
        <v>254</v>
      </c>
      <c r="D48" s="377">
        <f>D30+D37</f>
        <v>-903750</v>
      </c>
      <c r="E48" s="121">
        <f>E33+E36</f>
        <v>-451782.06400000001</v>
      </c>
      <c r="F48" s="121">
        <f t="shared" ref="F48:K48" si="14">F33+F36</f>
        <v>-361407.06400000001</v>
      </c>
      <c r="G48" s="121">
        <f t="shared" si="14"/>
        <v>-361407.06400000001</v>
      </c>
      <c r="H48" s="121">
        <f t="shared" si="14"/>
        <v>-361407.06400000001</v>
      </c>
      <c r="I48" s="121">
        <f t="shared" si="14"/>
        <v>-361407.06400000001</v>
      </c>
      <c r="J48" s="121">
        <f t="shared" si="14"/>
        <v>-361407.06400000001</v>
      </c>
      <c r="K48" s="121">
        <f t="shared" si="14"/>
        <v>-361407.06400000001</v>
      </c>
      <c r="L48" s="160"/>
      <c r="M48" s="382" t="s">
        <v>298</v>
      </c>
    </row>
    <row r="49" spans="3:13" ht="15.75">
      <c r="C49" s="49" t="s">
        <v>249</v>
      </c>
      <c r="D49" s="49"/>
      <c r="E49" s="35"/>
      <c r="F49" s="35"/>
      <c r="G49" s="35"/>
      <c r="H49" s="35"/>
      <c r="I49" s="35"/>
      <c r="J49" s="35"/>
      <c r="K49" s="35"/>
      <c r="L49" s="160"/>
    </row>
    <row r="50" spans="3:13" ht="15.75">
      <c r="L50" s="160"/>
      <c r="M50" s="107"/>
    </row>
    <row r="51" spans="3:13" ht="15.75">
      <c r="C51" s="366" t="s">
        <v>253</v>
      </c>
      <c r="D51" s="378">
        <v>0.12</v>
      </c>
      <c r="F51" s="16" t="s">
        <v>255</v>
      </c>
      <c r="L51" s="160"/>
      <c r="M51" s="8" t="s">
        <v>303</v>
      </c>
    </row>
    <row r="52" spans="3:13" ht="15.75">
      <c r="C52" s="35" t="s">
        <v>250</v>
      </c>
      <c r="D52" s="359">
        <f>NPV(D51,E48:K48)+D48</f>
        <v>-2633815.8158056261</v>
      </c>
      <c r="F52" s="379" t="s">
        <v>296</v>
      </c>
      <c r="G52" s="160"/>
      <c r="H52" s="160"/>
      <c r="I52" s="160"/>
      <c r="J52" s="160"/>
      <c r="K52" s="160"/>
      <c r="L52" s="160"/>
    </row>
    <row r="53" spans="3:13" ht="15.75">
      <c r="C53" s="35" t="s">
        <v>152</v>
      </c>
      <c r="D53" s="380" t="str">
        <f>IFERROR(IRR(D48:K48),"-")</f>
        <v>-</v>
      </c>
      <c r="F53" s="381" t="s">
        <v>366</v>
      </c>
      <c r="G53" s="160"/>
      <c r="H53" s="160"/>
      <c r="I53" s="160"/>
      <c r="J53" s="160"/>
      <c r="K53" s="160"/>
      <c r="L53" s="160"/>
    </row>
    <row r="54" spans="3:13" ht="15.75">
      <c r="C54" s="35" t="s">
        <v>295</v>
      </c>
      <c r="D54" s="106">
        <f>(E22/-D37) *100%</f>
        <v>-0.55566480110650074</v>
      </c>
      <c r="F54" s="16" t="s">
        <v>317</v>
      </c>
      <c r="L54" s="160"/>
    </row>
  </sheetData>
  <phoneticPr fontId="40" type="noConversion"/>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3" tint="0.59999389629810485"/>
  </sheetPr>
  <dimension ref="A1:N59"/>
  <sheetViews>
    <sheetView workbookViewId="0"/>
  </sheetViews>
  <sheetFormatPr defaultColWidth="11.42578125" defaultRowHeight="15"/>
  <cols>
    <col min="1" max="1" width="2.85546875" customWidth="1"/>
    <col min="2" max="2" width="2.42578125" customWidth="1"/>
    <col min="3" max="3" width="25.28515625" customWidth="1"/>
    <col min="4" max="4" width="15.85546875" customWidth="1"/>
    <col min="5" max="5" width="12.28515625" customWidth="1"/>
    <col min="6" max="6" width="18.85546875" customWidth="1"/>
    <col min="7" max="7" width="18" customWidth="1"/>
    <col min="10" max="10" width="14.140625" customWidth="1"/>
    <col min="11" max="11" width="17.140625" customWidth="1"/>
    <col min="12" max="12" width="4.85546875" customWidth="1"/>
    <col min="13" max="13" width="30" customWidth="1"/>
  </cols>
  <sheetData>
    <row r="1" spans="1:14" ht="15.75" thickBot="1"/>
    <row r="2" spans="1:14" ht="15.75">
      <c r="E2" s="115" t="s">
        <v>31</v>
      </c>
      <c r="F2" s="164" t="s">
        <v>100</v>
      </c>
      <c r="G2" s="164"/>
      <c r="H2" s="164"/>
      <c r="I2" s="164" t="s">
        <v>99</v>
      </c>
      <c r="J2" s="165"/>
      <c r="K2" s="166"/>
      <c r="M2" s="86" t="s">
        <v>43</v>
      </c>
    </row>
    <row r="3" spans="1:14" ht="21">
      <c r="C3" s="7" t="s">
        <v>92</v>
      </c>
      <c r="E3" s="167"/>
      <c r="F3" s="154">
        <f>E14</f>
        <v>8800000</v>
      </c>
      <c r="G3" s="154" t="s">
        <v>281</v>
      </c>
      <c r="H3" s="422" t="s">
        <v>1</v>
      </c>
      <c r="I3" s="154">
        <f>H20</f>
        <v>2112000</v>
      </c>
      <c r="J3" s="155" t="s">
        <v>39</v>
      </c>
      <c r="K3" s="423" t="s">
        <v>170</v>
      </c>
      <c r="M3" s="168" t="s">
        <v>40</v>
      </c>
    </row>
    <row r="4" spans="1:14" ht="15.75">
      <c r="C4" s="8" t="s">
        <v>93</v>
      </c>
      <c r="E4" s="118"/>
      <c r="F4" s="154"/>
      <c r="G4" s="154"/>
      <c r="H4" s="154"/>
      <c r="I4" s="154">
        <f>H33</f>
        <v>1337600</v>
      </c>
      <c r="J4" s="155" t="s">
        <v>39</v>
      </c>
      <c r="K4" s="424" t="s">
        <v>139</v>
      </c>
      <c r="M4" s="169" t="s">
        <v>42</v>
      </c>
    </row>
    <row r="5" spans="1:14" ht="16.5" thickBot="1">
      <c r="E5" s="170"/>
      <c r="F5" s="186"/>
      <c r="G5" s="186"/>
      <c r="H5" s="186"/>
      <c r="I5" s="274">
        <f>H34</f>
        <v>5350400</v>
      </c>
      <c r="J5" s="187" t="s">
        <v>39</v>
      </c>
      <c r="K5" s="425" t="s">
        <v>58</v>
      </c>
      <c r="M5" s="163" t="s">
        <v>41</v>
      </c>
    </row>
    <row r="6" spans="1:14" ht="18.75">
      <c r="D6" s="9"/>
      <c r="M6" s="36" t="s">
        <v>59</v>
      </c>
    </row>
    <row r="7" spans="1:14" ht="15.75">
      <c r="C7" s="90" t="s">
        <v>67</v>
      </c>
      <c r="D7" s="90"/>
      <c r="E7" s="171">
        <f>'Grass Processing'!F23</f>
        <v>8800000</v>
      </c>
      <c r="F7" s="421" t="s">
        <v>280</v>
      </c>
      <c r="G7" s="653"/>
      <c r="H7" s="653"/>
      <c r="I7" s="653"/>
      <c r="J7" s="653"/>
      <c r="K7" s="653"/>
    </row>
    <row r="8" spans="1:14" ht="15.95" customHeight="1">
      <c r="A8" s="160"/>
      <c r="B8" s="160"/>
      <c r="C8" s="90"/>
      <c r="D8" s="90"/>
      <c r="E8" s="171">
        <f>'Grass Processing'!F24</f>
        <v>1434400</v>
      </c>
      <c r="F8" s="421" t="s">
        <v>279</v>
      </c>
      <c r="G8" s="181"/>
      <c r="H8" s="181"/>
      <c r="I8" s="181"/>
      <c r="J8" s="181"/>
      <c r="K8" s="181"/>
      <c r="L8" s="160"/>
    </row>
    <row r="9" spans="1:14" ht="15.75">
      <c r="A9" s="160"/>
      <c r="B9" s="160"/>
      <c r="C9" s="185"/>
      <c r="D9" s="185"/>
      <c r="L9" s="185"/>
      <c r="M9" s="188"/>
      <c r="N9" s="188"/>
    </row>
    <row r="10" spans="1:14" ht="15.75">
      <c r="A10" s="160"/>
      <c r="B10" s="160"/>
      <c r="C10" s="189" t="s">
        <v>44</v>
      </c>
      <c r="D10" s="189" t="s">
        <v>25</v>
      </c>
      <c r="E10" s="189" t="s">
        <v>49</v>
      </c>
      <c r="F10" s="190"/>
      <c r="G10" s="191"/>
      <c r="H10" s="189" t="s">
        <v>50</v>
      </c>
      <c r="I10" s="190"/>
      <c r="J10" s="191"/>
      <c r="K10" s="185"/>
      <c r="M10" s="192" t="s">
        <v>33</v>
      </c>
      <c r="N10" s="188"/>
    </row>
    <row r="11" spans="1:14" ht="15.75">
      <c r="A11" s="160"/>
      <c r="B11" s="160"/>
      <c r="C11" s="193"/>
      <c r="D11" s="193"/>
      <c r="E11" s="194" t="s">
        <v>38</v>
      </c>
      <c r="F11" s="195" t="s">
        <v>5</v>
      </c>
      <c r="G11" s="196" t="s">
        <v>14</v>
      </c>
      <c r="H11" s="194" t="s">
        <v>38</v>
      </c>
      <c r="I11" s="195" t="s">
        <v>5</v>
      </c>
      <c r="J11" s="196" t="s">
        <v>14</v>
      </c>
      <c r="K11" s="185"/>
      <c r="M11" s="185"/>
      <c r="N11" s="188"/>
    </row>
    <row r="12" spans="1:14" ht="15.75">
      <c r="A12" s="160"/>
      <c r="B12" s="160"/>
      <c r="C12" s="197" t="s">
        <v>52</v>
      </c>
      <c r="D12" s="198"/>
      <c r="E12" s="199"/>
      <c r="F12" s="200"/>
      <c r="G12" s="201"/>
      <c r="H12" s="200"/>
      <c r="I12" s="200"/>
      <c r="J12" s="201"/>
      <c r="K12" s="185"/>
      <c r="M12" s="185"/>
      <c r="N12" s="188"/>
    </row>
    <row r="13" spans="1:14" ht="15.75">
      <c r="A13" s="160"/>
      <c r="B13" s="160"/>
      <c r="C13" s="197"/>
      <c r="D13" s="202" t="s">
        <v>51</v>
      </c>
      <c r="E13" s="199"/>
      <c r="F13" s="200"/>
      <c r="G13" s="201"/>
      <c r="H13" s="200"/>
      <c r="I13" s="200"/>
      <c r="J13" s="201"/>
      <c r="K13" s="185"/>
      <c r="M13" s="185"/>
      <c r="N13" s="188"/>
    </row>
    <row r="14" spans="1:14" ht="15.75">
      <c r="A14" s="160"/>
      <c r="B14" s="160"/>
      <c r="C14" s="203"/>
      <c r="D14" s="204"/>
      <c r="E14" s="205">
        <f>E7</f>
        <v>8800000</v>
      </c>
      <c r="F14" s="206" t="s">
        <v>119</v>
      </c>
      <c r="G14" s="207" t="s">
        <v>122</v>
      </c>
      <c r="H14" s="208">
        <f>E14</f>
        <v>8800000</v>
      </c>
      <c r="I14" s="200" t="s">
        <v>39</v>
      </c>
      <c r="J14" s="221" t="s">
        <v>121</v>
      </c>
      <c r="K14" s="185"/>
      <c r="M14" s="185"/>
      <c r="N14" s="188"/>
    </row>
    <row r="15" spans="1:14" ht="15.75">
      <c r="A15" s="160"/>
      <c r="B15" s="160"/>
      <c r="C15" s="203"/>
      <c r="D15" s="209" t="s">
        <v>35</v>
      </c>
      <c r="E15" s="199"/>
      <c r="F15" s="200"/>
      <c r="G15" s="201"/>
      <c r="H15" s="200"/>
      <c r="I15" s="200"/>
      <c r="J15" s="201"/>
      <c r="K15" s="185"/>
      <c r="M15" s="185"/>
      <c r="N15" s="188"/>
    </row>
    <row r="16" spans="1:14" ht="15.75">
      <c r="A16" s="160"/>
      <c r="B16" s="160"/>
      <c r="C16" s="203"/>
      <c r="D16" s="204"/>
      <c r="E16" s="210">
        <f>Variables!E16/1000*$E$14</f>
        <v>1320000</v>
      </c>
      <c r="F16" s="211" t="s">
        <v>45</v>
      </c>
      <c r="G16" s="212" t="s">
        <v>48</v>
      </c>
      <c r="H16" s="211"/>
      <c r="I16" s="211"/>
      <c r="J16" s="212"/>
      <c r="K16" s="185"/>
      <c r="M16" s="185"/>
      <c r="N16" s="188"/>
    </row>
    <row r="17" spans="1:14" ht="15.75">
      <c r="A17" s="160"/>
      <c r="B17" s="160"/>
      <c r="C17" s="203"/>
      <c r="D17" s="204"/>
      <c r="E17" s="210">
        <f>Variables!E17/1000*$E$14</f>
        <v>0</v>
      </c>
      <c r="F17" s="200" t="s">
        <v>46</v>
      </c>
      <c r="G17" s="212" t="s">
        <v>37</v>
      </c>
      <c r="H17" s="211"/>
      <c r="I17" s="200"/>
      <c r="J17" s="212"/>
      <c r="K17" s="185"/>
      <c r="M17" s="185"/>
      <c r="N17" s="188"/>
    </row>
    <row r="18" spans="1:14" ht="15.75">
      <c r="A18" s="160"/>
      <c r="B18" s="160"/>
      <c r="C18" s="213" t="s">
        <v>53</v>
      </c>
      <c r="D18" s="214"/>
      <c r="E18" s="203"/>
      <c r="F18" s="211"/>
      <c r="G18" s="212"/>
      <c r="H18" s="211"/>
      <c r="I18" s="200"/>
      <c r="J18" s="212"/>
      <c r="K18" s="185"/>
      <c r="M18" s="185"/>
      <c r="N18" s="188"/>
    </row>
    <row r="19" spans="1:14" ht="15.75">
      <c r="A19" s="160"/>
      <c r="B19" s="160"/>
      <c r="C19" s="215"/>
      <c r="D19" s="202" t="s">
        <v>51</v>
      </c>
      <c r="E19" s="203"/>
      <c r="F19" s="211"/>
      <c r="G19" s="212"/>
      <c r="H19" s="211"/>
      <c r="I19" s="211"/>
      <c r="J19" s="212"/>
      <c r="K19" s="426"/>
      <c r="N19" s="188"/>
    </row>
    <row r="20" spans="1:14" ht="18.75">
      <c r="A20" s="160"/>
      <c r="B20" s="160"/>
      <c r="C20" s="213"/>
      <c r="D20" s="204"/>
      <c r="E20" s="205">
        <f>H14</f>
        <v>8800000</v>
      </c>
      <c r="F20" s="211" t="s">
        <v>39</v>
      </c>
      <c r="G20" s="207" t="s">
        <v>123</v>
      </c>
      <c r="H20" s="208">
        <f>E20*K20</f>
        <v>2112000</v>
      </c>
      <c r="I20" s="211" t="s">
        <v>39</v>
      </c>
      <c r="J20" s="138" t="s">
        <v>170</v>
      </c>
      <c r="K20" s="273">
        <v>0.24</v>
      </c>
      <c r="M20" s="631" t="s">
        <v>372</v>
      </c>
      <c r="N20" s="188"/>
    </row>
    <row r="21" spans="1:14" ht="15.75">
      <c r="A21" s="160"/>
      <c r="B21" s="160"/>
      <c r="C21" s="213"/>
      <c r="D21" s="204"/>
      <c r="E21" s="203"/>
      <c r="F21" s="211"/>
      <c r="G21" s="212"/>
      <c r="H21" s="208">
        <f>E20-H20</f>
        <v>6688000</v>
      </c>
      <c r="I21" s="211" t="s">
        <v>39</v>
      </c>
      <c r="J21" s="212" t="s">
        <v>54</v>
      </c>
      <c r="K21" s="273">
        <f>100%-K20</f>
        <v>0.76</v>
      </c>
      <c r="L21" s="42"/>
      <c r="M21" s="630" t="s">
        <v>370</v>
      </c>
      <c r="N21" s="188"/>
    </row>
    <row r="22" spans="1:14" ht="15.75">
      <c r="A22" s="160"/>
      <c r="B22" s="160"/>
      <c r="C22" s="213"/>
      <c r="D22" s="209" t="s">
        <v>35</v>
      </c>
      <c r="E22" s="203"/>
      <c r="F22" s="211"/>
      <c r="G22" s="212"/>
      <c r="H22" s="200"/>
      <c r="I22" s="211"/>
      <c r="J22" s="212"/>
      <c r="K22" s="185"/>
      <c r="L22" s="42"/>
      <c r="M22" s="188"/>
      <c r="N22" s="188"/>
    </row>
    <row r="23" spans="1:14" ht="15.75">
      <c r="A23" s="160"/>
      <c r="B23" s="160"/>
      <c r="C23" s="203"/>
      <c r="D23" s="204"/>
      <c r="E23" s="210">
        <f>Variables!E20/1000*$E$20</f>
        <v>43120.000000000007</v>
      </c>
      <c r="F23" s="211" t="s">
        <v>45</v>
      </c>
      <c r="G23" s="212" t="s">
        <v>48</v>
      </c>
      <c r="H23" s="211"/>
      <c r="I23" s="211"/>
      <c r="J23" s="212"/>
      <c r="K23" s="185"/>
      <c r="L23" s="42"/>
      <c r="M23" s="188"/>
      <c r="N23" s="188"/>
    </row>
    <row r="24" spans="1:14" ht="15.75">
      <c r="A24" s="160"/>
      <c r="B24" s="160"/>
      <c r="C24" s="203"/>
      <c r="D24" s="204"/>
      <c r="E24" s="210">
        <f>Variables!E21/1000*$E$20</f>
        <v>0</v>
      </c>
      <c r="F24" s="200" t="s">
        <v>46</v>
      </c>
      <c r="G24" s="212" t="s">
        <v>37</v>
      </c>
      <c r="H24" s="211"/>
      <c r="I24" s="200"/>
      <c r="J24" s="212"/>
      <c r="K24" s="185"/>
      <c r="L24" s="42"/>
      <c r="M24" s="188"/>
      <c r="N24" s="188"/>
    </row>
    <row r="25" spans="1:14" ht="15.75">
      <c r="A25" s="160"/>
      <c r="B25" s="160"/>
      <c r="C25" s="216" t="s">
        <v>60</v>
      </c>
      <c r="D25" s="204"/>
      <c r="E25" s="199"/>
      <c r="F25" s="200"/>
      <c r="G25" s="201"/>
      <c r="H25" s="200"/>
      <c r="I25" s="200"/>
      <c r="J25" s="201"/>
      <c r="K25" s="185"/>
      <c r="L25" s="42"/>
      <c r="M25" s="188"/>
      <c r="N25" s="188"/>
    </row>
    <row r="26" spans="1:14" ht="15.75">
      <c r="A26" s="160"/>
      <c r="B26" s="160"/>
      <c r="C26" s="203"/>
      <c r="D26" s="202" t="s">
        <v>51</v>
      </c>
      <c r="E26" s="199"/>
      <c r="F26" s="200"/>
      <c r="G26" s="201"/>
      <c r="H26" s="200"/>
      <c r="I26" s="200"/>
      <c r="J26" s="201"/>
      <c r="K26" s="185"/>
      <c r="L26" s="42"/>
      <c r="M26" s="188"/>
      <c r="N26" s="188"/>
    </row>
    <row r="27" spans="1:14" ht="15.75">
      <c r="A27" s="160"/>
      <c r="B27" s="160"/>
      <c r="C27" s="216"/>
      <c r="D27" s="204"/>
      <c r="E27" s="139">
        <f>H21</f>
        <v>6688000</v>
      </c>
      <c r="F27" s="140" t="s">
        <v>39</v>
      </c>
      <c r="G27" s="141" t="s">
        <v>54</v>
      </c>
      <c r="H27" s="142">
        <f>E27</f>
        <v>6688000</v>
      </c>
      <c r="I27" s="143" t="s">
        <v>39</v>
      </c>
      <c r="J27" s="144" t="s">
        <v>54</v>
      </c>
      <c r="K27" s="185"/>
      <c r="L27" s="42"/>
      <c r="M27" s="188"/>
      <c r="N27" s="188"/>
    </row>
    <row r="28" spans="1:14" ht="15.75">
      <c r="A28" s="160"/>
      <c r="B28" s="160"/>
      <c r="C28" s="216"/>
      <c r="D28" s="209" t="s">
        <v>35</v>
      </c>
      <c r="E28" s="145"/>
      <c r="F28" s="140"/>
      <c r="G28" s="141"/>
      <c r="H28" s="143"/>
      <c r="I28" s="143"/>
      <c r="J28" s="144"/>
      <c r="K28" s="185"/>
      <c r="L28" s="42"/>
      <c r="M28" s="188"/>
      <c r="N28" s="188"/>
    </row>
    <row r="29" spans="1:14" ht="15.75">
      <c r="A29" s="160"/>
      <c r="B29" s="160"/>
      <c r="C29" s="216"/>
      <c r="D29" s="204"/>
      <c r="E29" s="210">
        <f>Variables!E24/1000*$E$27</f>
        <v>0</v>
      </c>
      <c r="F29" s="211" t="s">
        <v>45</v>
      </c>
      <c r="G29" s="212" t="s">
        <v>48</v>
      </c>
      <c r="H29" s="211"/>
      <c r="I29" s="211"/>
      <c r="J29" s="212"/>
      <c r="K29" s="211"/>
      <c r="L29" s="42"/>
      <c r="M29" s="188"/>
      <c r="N29" s="188"/>
    </row>
    <row r="30" spans="1:14" ht="15.75">
      <c r="A30" s="160"/>
      <c r="B30" s="160"/>
      <c r="C30" s="216"/>
      <c r="D30" s="204"/>
      <c r="E30" s="210">
        <f>Variables!E25/1000*$E$27</f>
        <v>0</v>
      </c>
      <c r="F30" s="200" t="s">
        <v>46</v>
      </c>
      <c r="G30" s="212" t="s">
        <v>37</v>
      </c>
      <c r="H30" s="211"/>
      <c r="I30" s="211"/>
      <c r="J30" s="212"/>
      <c r="K30" s="211"/>
      <c r="L30" s="42"/>
      <c r="M30" s="188"/>
      <c r="N30" s="188"/>
    </row>
    <row r="31" spans="1:14" ht="15.75">
      <c r="A31" s="160"/>
      <c r="B31" s="160"/>
      <c r="C31" s="213" t="s">
        <v>55</v>
      </c>
      <c r="D31" s="214"/>
      <c r="E31" s="145"/>
      <c r="F31" s="211"/>
      <c r="G31" s="212"/>
      <c r="H31" s="211"/>
      <c r="I31" s="211"/>
      <c r="J31" s="212"/>
      <c r="K31" s="211"/>
      <c r="L31" s="42"/>
      <c r="M31" s="188"/>
      <c r="N31" s="188"/>
    </row>
    <row r="32" spans="1:14" ht="15.75">
      <c r="A32" s="160"/>
      <c r="B32" s="160"/>
      <c r="C32" s="215"/>
      <c r="D32" s="202" t="s">
        <v>51</v>
      </c>
      <c r="E32" s="203"/>
      <c r="F32" s="211"/>
      <c r="G32" s="212"/>
      <c r="H32" s="211"/>
      <c r="I32" s="211"/>
      <c r="J32" s="212"/>
      <c r="K32" s="211"/>
      <c r="L32" s="42"/>
      <c r="M32" s="188"/>
      <c r="N32" s="188"/>
    </row>
    <row r="33" spans="1:14" ht="33">
      <c r="A33" s="160"/>
      <c r="B33" s="160"/>
      <c r="C33" s="203"/>
      <c r="D33" s="204"/>
      <c r="E33" s="205">
        <f>H27</f>
        <v>6688000</v>
      </c>
      <c r="F33" s="211" t="s">
        <v>39</v>
      </c>
      <c r="G33" s="212" t="s">
        <v>54</v>
      </c>
      <c r="H33" s="208">
        <f>E33*K33</f>
        <v>1337600</v>
      </c>
      <c r="I33" s="211" t="s">
        <v>39</v>
      </c>
      <c r="J33" s="146" t="s">
        <v>139</v>
      </c>
      <c r="K33" s="273">
        <v>0.2</v>
      </c>
      <c r="L33" s="311" t="s">
        <v>198</v>
      </c>
      <c r="M33" s="567" t="s">
        <v>371</v>
      </c>
      <c r="N33" s="188"/>
    </row>
    <row r="34" spans="1:14" ht="18" customHeight="1">
      <c r="A34" s="160"/>
      <c r="B34" s="160"/>
      <c r="C34" s="213"/>
      <c r="D34" s="204"/>
      <c r="E34" s="203"/>
      <c r="F34" s="211"/>
      <c r="G34" s="212"/>
      <c r="H34" s="208">
        <f>E33-H33</f>
        <v>5350400</v>
      </c>
      <c r="I34" s="211" t="s">
        <v>39</v>
      </c>
      <c r="J34" s="138" t="s">
        <v>144</v>
      </c>
      <c r="K34" s="273">
        <f>100%-K33</f>
        <v>0.8</v>
      </c>
      <c r="L34" s="42"/>
      <c r="M34" s="188"/>
      <c r="N34" s="188"/>
    </row>
    <row r="35" spans="1:14" ht="15.75">
      <c r="A35" s="160"/>
      <c r="B35" s="160"/>
      <c r="C35" s="213"/>
      <c r="D35" s="209" t="s">
        <v>35</v>
      </c>
      <c r="E35" s="203"/>
      <c r="F35" s="211"/>
      <c r="G35" s="212"/>
      <c r="H35" s="211"/>
      <c r="I35" s="211"/>
      <c r="J35" s="212"/>
      <c r="K35" s="185"/>
      <c r="L35" s="42"/>
      <c r="M35" s="188"/>
      <c r="N35" s="188"/>
    </row>
    <row r="36" spans="1:14" ht="15.75">
      <c r="A36" s="160"/>
      <c r="B36" s="160"/>
      <c r="C36" s="213"/>
      <c r="D36" s="204"/>
      <c r="E36" s="210">
        <f>Variables!E28/1000*$E$33</f>
        <v>29427.200000000001</v>
      </c>
      <c r="F36" s="211" t="s">
        <v>45</v>
      </c>
      <c r="G36" s="212" t="s">
        <v>48</v>
      </c>
      <c r="H36" s="211"/>
      <c r="I36" s="211"/>
      <c r="J36" s="212"/>
      <c r="K36" s="185"/>
      <c r="L36" s="42"/>
      <c r="M36" s="188"/>
      <c r="N36" s="188"/>
    </row>
    <row r="37" spans="1:14" ht="15.75">
      <c r="A37" s="160"/>
      <c r="B37" s="160"/>
      <c r="C37" s="213"/>
      <c r="D37" s="204"/>
      <c r="E37" s="210">
        <f>Variables!E29/1000*$E$33</f>
        <v>0</v>
      </c>
      <c r="F37" s="200" t="s">
        <v>46</v>
      </c>
      <c r="G37" s="212" t="s">
        <v>37</v>
      </c>
      <c r="H37" s="211"/>
      <c r="I37" s="211"/>
      <c r="J37" s="212"/>
      <c r="K37" s="185"/>
      <c r="L37" s="42"/>
      <c r="M37" s="188"/>
      <c r="N37" s="188"/>
    </row>
    <row r="38" spans="1:14" ht="15.75">
      <c r="A38" s="160"/>
      <c r="B38" s="160"/>
      <c r="C38" s="214" t="s">
        <v>97</v>
      </c>
      <c r="D38" s="203"/>
      <c r="E38" s="203"/>
      <c r="F38" s="211"/>
      <c r="G38" s="211"/>
      <c r="H38" s="203"/>
      <c r="I38" s="211"/>
      <c r="J38" s="212"/>
      <c r="K38" s="185"/>
      <c r="L38" s="42"/>
      <c r="M38" s="188"/>
      <c r="N38" s="188"/>
    </row>
    <row r="39" spans="1:14" ht="15.75">
      <c r="A39" s="160"/>
      <c r="B39" s="160"/>
      <c r="C39" s="214"/>
      <c r="D39" s="215" t="s">
        <v>35</v>
      </c>
      <c r="E39" s="203"/>
      <c r="F39" s="211"/>
      <c r="G39" s="211"/>
      <c r="H39" s="203"/>
      <c r="I39" s="211"/>
      <c r="J39" s="212"/>
      <c r="K39" s="185"/>
      <c r="L39" s="42"/>
      <c r="M39" s="188"/>
      <c r="N39" s="188"/>
    </row>
    <row r="40" spans="1:14" ht="15.75">
      <c r="A40" s="160"/>
      <c r="B40" s="160"/>
      <c r="C40" s="217"/>
      <c r="D40" s="218"/>
      <c r="E40" s="150">
        <f>'Grass Processing'!F21</f>
        <v>2</v>
      </c>
      <c r="F40" s="219" t="s">
        <v>98</v>
      </c>
      <c r="G40" s="219" t="s">
        <v>23</v>
      </c>
      <c r="H40" s="218"/>
      <c r="I40" s="219"/>
      <c r="J40" s="220"/>
      <c r="K40" s="185"/>
      <c r="L40" s="42"/>
      <c r="M40" s="188"/>
      <c r="N40" s="188"/>
    </row>
    <row r="41" spans="1:14" ht="15.75">
      <c r="A41" s="160"/>
      <c r="B41" s="160"/>
      <c r="C41" s="211"/>
      <c r="D41" s="185"/>
      <c r="E41" s="185"/>
      <c r="F41" s="185"/>
      <c r="G41" s="185"/>
      <c r="H41" s="185"/>
      <c r="I41" s="185"/>
      <c r="J41" s="185"/>
      <c r="K41" s="185"/>
      <c r="L41" s="42"/>
      <c r="M41" s="188"/>
      <c r="N41" s="188"/>
    </row>
    <row r="42" spans="1:14" ht="15.75">
      <c r="A42" s="160"/>
      <c r="B42" s="160"/>
      <c r="C42" s="211"/>
      <c r="D42" s="185"/>
      <c r="E42" s="188"/>
      <c r="F42" s="188"/>
      <c r="G42" s="188"/>
      <c r="H42" s="188"/>
      <c r="I42" s="188"/>
      <c r="J42" s="188"/>
      <c r="K42" s="185"/>
      <c r="L42" s="42"/>
      <c r="M42" s="188"/>
      <c r="N42" s="188"/>
    </row>
    <row r="43" spans="1:14" ht="15.75">
      <c r="A43" s="160"/>
      <c r="B43" s="160"/>
      <c r="C43" s="188"/>
      <c r="D43" s="188"/>
      <c r="E43" s="188"/>
      <c r="F43" s="188"/>
      <c r="G43" s="188"/>
      <c r="H43" s="188"/>
      <c r="I43" s="188"/>
      <c r="J43" s="188"/>
      <c r="K43" s="185"/>
      <c r="L43" s="42"/>
      <c r="M43" s="188"/>
      <c r="N43" s="188"/>
    </row>
    <row r="44" spans="1:14" ht="15.75">
      <c r="C44" s="188"/>
      <c r="D44" s="188"/>
      <c r="E44" s="188"/>
      <c r="F44" s="188"/>
      <c r="G44" s="188"/>
      <c r="H44" s="188"/>
      <c r="I44" s="188"/>
      <c r="J44" s="188"/>
      <c r="K44" s="185"/>
      <c r="L44" s="112"/>
      <c r="M44" s="188"/>
      <c r="N44" s="188"/>
    </row>
    <row r="45" spans="1:14" ht="15.75">
      <c r="C45" s="188"/>
      <c r="D45" s="188"/>
      <c r="E45" s="188"/>
      <c r="F45" s="188"/>
      <c r="G45" s="188"/>
      <c r="H45" s="188"/>
      <c r="I45" s="188"/>
      <c r="J45" s="188"/>
      <c r="K45" s="185"/>
      <c r="L45" s="299"/>
      <c r="M45" s="188"/>
      <c r="N45" s="188"/>
    </row>
    <row r="46" spans="1:14" ht="15.75">
      <c r="C46" s="188"/>
      <c r="D46" s="188"/>
      <c r="E46" s="185"/>
      <c r="F46" s="185"/>
      <c r="G46" s="185"/>
      <c r="H46" s="185"/>
      <c r="I46" s="185"/>
      <c r="J46" s="185"/>
      <c r="K46" s="185"/>
      <c r="L46" s="42"/>
      <c r="M46" s="188"/>
      <c r="N46" s="188"/>
    </row>
    <row r="47" spans="1:14" ht="15.75">
      <c r="C47" s="188"/>
      <c r="D47" s="185"/>
      <c r="E47" s="188"/>
      <c r="F47" s="188"/>
      <c r="G47" s="188"/>
      <c r="H47" s="188"/>
      <c r="I47" s="188"/>
      <c r="J47" s="188"/>
      <c r="K47" s="188"/>
      <c r="M47" s="188"/>
      <c r="N47" s="188"/>
    </row>
    <row r="48" spans="1:14">
      <c r="C48" s="188"/>
      <c r="D48" s="188"/>
      <c r="E48" s="188"/>
      <c r="F48" s="188"/>
      <c r="G48" s="188"/>
      <c r="H48" s="188"/>
      <c r="I48" s="188"/>
      <c r="J48" s="188"/>
      <c r="K48" s="188"/>
      <c r="L48" s="188"/>
      <c r="M48" s="188"/>
      <c r="N48" s="188"/>
    </row>
    <row r="49" spans="3:14">
      <c r="C49" s="188"/>
      <c r="D49" s="188"/>
      <c r="E49" s="188"/>
      <c r="F49" s="188"/>
      <c r="G49" s="188"/>
      <c r="H49" s="188"/>
      <c r="I49" s="188"/>
      <c r="J49" s="188"/>
      <c r="K49" s="188"/>
      <c r="L49" s="188"/>
      <c r="M49" s="188"/>
      <c r="N49" s="188"/>
    </row>
    <row r="50" spans="3:14">
      <c r="C50" s="188"/>
      <c r="D50" s="188"/>
      <c r="E50" s="188"/>
      <c r="F50" s="188"/>
      <c r="G50" s="188"/>
      <c r="H50" s="188"/>
      <c r="I50" s="188"/>
      <c r="J50" s="188"/>
      <c r="K50" s="188"/>
      <c r="L50" s="188"/>
      <c r="M50" s="188"/>
      <c r="N50" s="188"/>
    </row>
    <row r="51" spans="3:14">
      <c r="C51" s="188"/>
      <c r="D51" s="188"/>
      <c r="E51" s="188"/>
      <c r="F51" s="188"/>
      <c r="G51" s="188"/>
      <c r="H51" s="188"/>
      <c r="I51" s="188"/>
      <c r="J51" s="188"/>
      <c r="K51" s="188"/>
      <c r="L51" s="188"/>
      <c r="M51" s="188"/>
      <c r="N51" s="188"/>
    </row>
    <row r="52" spans="3:14">
      <c r="C52" s="188"/>
      <c r="D52" s="188"/>
      <c r="E52" s="188"/>
      <c r="F52" s="188"/>
      <c r="G52" s="188"/>
      <c r="H52" s="188"/>
      <c r="I52" s="188"/>
      <c r="J52" s="188"/>
      <c r="K52" s="188"/>
      <c r="L52" s="188"/>
      <c r="M52" s="188"/>
      <c r="N52" s="188"/>
    </row>
    <row r="53" spans="3:14">
      <c r="C53" s="188"/>
      <c r="D53" s="188"/>
      <c r="E53" s="188"/>
      <c r="F53" s="188"/>
      <c r="G53" s="188"/>
      <c r="H53" s="188"/>
      <c r="I53" s="188"/>
      <c r="J53" s="188"/>
      <c r="K53" s="188"/>
      <c r="L53" s="188"/>
      <c r="M53" s="188"/>
      <c r="N53" s="188"/>
    </row>
    <row r="54" spans="3:14">
      <c r="C54" s="188"/>
      <c r="D54" s="188"/>
      <c r="E54" s="188"/>
      <c r="F54" s="188"/>
      <c r="G54" s="188"/>
      <c r="H54" s="188"/>
      <c r="I54" s="188"/>
      <c r="J54" s="188"/>
      <c r="K54" s="188"/>
      <c r="L54" s="188"/>
      <c r="M54" s="188"/>
      <c r="N54" s="188"/>
    </row>
    <row r="55" spans="3:14">
      <c r="C55" s="188"/>
      <c r="D55" s="188"/>
      <c r="E55" s="188"/>
      <c r="F55" s="188"/>
      <c r="G55" s="188"/>
      <c r="H55" s="188"/>
      <c r="I55" s="188"/>
      <c r="J55" s="188"/>
      <c r="K55" s="188"/>
      <c r="L55" s="188"/>
      <c r="M55" s="188"/>
      <c r="N55" s="188"/>
    </row>
    <row r="56" spans="3:14">
      <c r="C56" s="188"/>
      <c r="D56" s="188"/>
      <c r="E56" s="188"/>
      <c r="F56" s="188"/>
      <c r="G56" s="188"/>
      <c r="H56" s="188"/>
      <c r="I56" s="188"/>
      <c r="J56" s="188"/>
      <c r="K56" s="188"/>
      <c r="L56" s="188"/>
      <c r="M56" s="188"/>
      <c r="N56" s="188"/>
    </row>
    <row r="57" spans="3:14">
      <c r="C57" s="188"/>
      <c r="D57" s="188"/>
      <c r="E57" s="188"/>
      <c r="F57" s="188"/>
      <c r="G57" s="188"/>
      <c r="H57" s="188"/>
      <c r="I57" s="188"/>
      <c r="J57" s="188"/>
      <c r="K57" s="188"/>
      <c r="L57" s="188"/>
      <c r="M57" s="188"/>
      <c r="N57" s="188"/>
    </row>
    <row r="58" spans="3:14">
      <c r="C58" s="188"/>
      <c r="D58" s="188"/>
      <c r="E58" s="188"/>
      <c r="F58" s="188"/>
      <c r="G58" s="188"/>
      <c r="H58" s="188"/>
      <c r="I58" s="188"/>
      <c r="J58" s="188"/>
      <c r="K58" s="188"/>
      <c r="L58" s="188"/>
      <c r="M58" s="188"/>
      <c r="N58" s="188"/>
    </row>
    <row r="59" spans="3:14">
      <c r="C59" s="188"/>
      <c r="D59" s="188"/>
      <c r="L59" s="188"/>
      <c r="M59" s="188"/>
      <c r="N59" s="188"/>
    </row>
  </sheetData>
  <mergeCells count="1">
    <mergeCell ref="G7:K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3" tint="0.59999389629810485"/>
  </sheetPr>
  <dimension ref="B1:AC153"/>
  <sheetViews>
    <sheetView workbookViewId="0"/>
  </sheetViews>
  <sheetFormatPr defaultColWidth="11.42578125" defaultRowHeight="15"/>
  <cols>
    <col min="1" max="1" width="2.42578125" customWidth="1"/>
    <col min="2" max="2" width="3.42578125" customWidth="1"/>
    <col min="3" max="3" width="19.42578125" customWidth="1"/>
    <col min="4" max="4" width="28.140625" customWidth="1"/>
    <col min="5" max="5" width="8.28515625" customWidth="1"/>
    <col min="6" max="6" width="15.42578125" bestFit="1" customWidth="1"/>
    <col min="7" max="7" width="15" customWidth="1"/>
    <col min="8" max="8" width="19.85546875" customWidth="1"/>
    <col min="9" max="9" width="23.42578125" customWidth="1"/>
    <col min="10" max="10" width="5.28515625" customWidth="1"/>
    <col min="11" max="11" width="51" customWidth="1"/>
    <col min="12" max="12" width="13.7109375" customWidth="1"/>
    <col min="14" max="14" width="12.140625" customWidth="1"/>
    <col min="15" max="15" width="20.28515625" customWidth="1"/>
    <col min="16" max="16" width="18.7109375" customWidth="1"/>
  </cols>
  <sheetData>
    <row r="1" spans="2:29">
      <c r="C1" s="20"/>
      <c r="D1" s="20"/>
    </row>
    <row r="2" spans="2:29" ht="20.100000000000001" customHeight="1">
      <c r="C2" s="3"/>
      <c r="D2" s="6"/>
      <c r="J2" s="80"/>
      <c r="K2" s="10" t="s">
        <v>43</v>
      </c>
    </row>
    <row r="3" spans="2:29" ht="21">
      <c r="C3" s="7" t="s">
        <v>29</v>
      </c>
      <c r="D3" s="6"/>
      <c r="J3" s="159"/>
      <c r="K3" s="36" t="s">
        <v>106</v>
      </c>
    </row>
    <row r="4" spans="2:29" ht="15.75">
      <c r="C4" s="8" t="s">
        <v>96</v>
      </c>
      <c r="D4" s="6"/>
    </row>
    <row r="5" spans="2:29">
      <c r="C5" s="6"/>
    </row>
    <row r="6" spans="2:29">
      <c r="B6" s="2"/>
      <c r="C6" s="52"/>
      <c r="H6" s="2"/>
      <c r="I6" s="2"/>
      <c r="J6" s="2"/>
      <c r="K6" s="2"/>
      <c r="R6" s="2"/>
      <c r="S6" s="2"/>
      <c r="T6" s="2"/>
      <c r="U6" s="2"/>
      <c r="V6" s="2"/>
      <c r="W6" s="2"/>
      <c r="X6" s="2"/>
      <c r="Y6" s="2"/>
      <c r="Z6" s="2"/>
      <c r="AA6" s="2"/>
      <c r="AB6" s="2"/>
      <c r="AC6" s="2"/>
    </row>
    <row r="7" spans="2:29" ht="15.75">
      <c r="B7" s="2"/>
      <c r="C7" s="2"/>
      <c r="D7" s="2"/>
      <c r="E7" s="4"/>
      <c r="F7" s="654" t="s">
        <v>0</v>
      </c>
      <c r="G7" s="655"/>
      <c r="H7" s="656"/>
      <c r="I7" s="53" t="s">
        <v>3</v>
      </c>
      <c r="J7" s="2"/>
      <c r="K7" s="79" t="s">
        <v>33</v>
      </c>
      <c r="L7" s="35" t="s">
        <v>34</v>
      </c>
      <c r="R7" s="80"/>
      <c r="S7" s="80"/>
      <c r="T7" s="2"/>
      <c r="U7" s="2"/>
      <c r="V7" s="2"/>
      <c r="W7" s="2"/>
      <c r="X7" s="2"/>
      <c r="Y7" s="2"/>
      <c r="Z7" s="2"/>
      <c r="AA7" s="2"/>
      <c r="AB7" s="2"/>
      <c r="AC7" s="2"/>
    </row>
    <row r="8" spans="2:29" ht="31.5">
      <c r="B8" s="2"/>
      <c r="C8" s="54" t="s">
        <v>44</v>
      </c>
      <c r="D8" s="53" t="s">
        <v>25</v>
      </c>
      <c r="E8" s="55" t="s">
        <v>61</v>
      </c>
      <c r="F8" s="53" t="s">
        <v>27</v>
      </c>
      <c r="G8" s="56" t="s">
        <v>65</v>
      </c>
      <c r="H8" s="53" t="s">
        <v>166</v>
      </c>
      <c r="I8" s="53" t="s">
        <v>3</v>
      </c>
      <c r="J8" s="159"/>
      <c r="K8" s="159"/>
      <c r="R8" s="159"/>
      <c r="S8" s="81"/>
      <c r="T8" s="2"/>
      <c r="U8" s="2"/>
      <c r="V8" s="2"/>
      <c r="W8" s="2"/>
      <c r="X8" s="2"/>
      <c r="Y8" s="2"/>
      <c r="Z8" s="2"/>
      <c r="AA8" s="2"/>
      <c r="AB8" s="2"/>
      <c r="AC8" s="2"/>
    </row>
    <row r="9" spans="2:29" ht="47.25">
      <c r="B9" s="2"/>
      <c r="C9" s="173"/>
      <c r="D9" s="174"/>
      <c r="E9" s="60" t="s">
        <v>62</v>
      </c>
      <c r="F9" s="61" t="s">
        <v>284</v>
      </c>
      <c r="G9" s="61" t="s">
        <v>64</v>
      </c>
      <c r="H9" s="61" t="s">
        <v>68</v>
      </c>
      <c r="I9" s="61" t="s">
        <v>64</v>
      </c>
      <c r="J9" s="159"/>
      <c r="K9" s="82" t="s">
        <v>282</v>
      </c>
      <c r="R9" s="2"/>
      <c r="S9" s="2"/>
      <c r="T9" s="2"/>
      <c r="U9" s="2"/>
      <c r="V9" s="2"/>
      <c r="W9" s="2"/>
      <c r="X9" s="2"/>
      <c r="Y9" s="2"/>
      <c r="Z9" s="2"/>
      <c r="AA9" s="2"/>
      <c r="AB9" s="2"/>
      <c r="AC9" s="2"/>
    </row>
    <row r="10" spans="2:29" ht="15.75">
      <c r="B10" s="2"/>
      <c r="C10" s="63" t="s">
        <v>52</v>
      </c>
      <c r="D10" s="63"/>
      <c r="E10" s="64">
        <v>1</v>
      </c>
      <c r="F10" s="53"/>
      <c r="G10" s="53"/>
      <c r="H10" s="53"/>
      <c r="I10" s="175"/>
      <c r="J10" s="159"/>
      <c r="K10" s="159"/>
      <c r="L10" s="2"/>
      <c r="M10" s="2"/>
      <c r="N10" s="2"/>
      <c r="O10" s="2"/>
      <c r="P10" s="2"/>
      <c r="Q10" s="2"/>
      <c r="R10" s="2"/>
      <c r="S10" s="2"/>
      <c r="T10" s="2"/>
      <c r="U10" s="2"/>
      <c r="V10" s="2"/>
      <c r="W10" s="2"/>
      <c r="X10" s="2"/>
      <c r="Y10" s="2"/>
      <c r="Z10" s="2"/>
      <c r="AA10" s="2"/>
      <c r="AB10" s="2"/>
      <c r="AC10" s="2"/>
    </row>
    <row r="11" spans="2:29" ht="15.75">
      <c r="B11" s="2"/>
      <c r="C11" s="66"/>
      <c r="D11" s="67" t="s">
        <v>63</v>
      </c>
      <c r="E11" s="68"/>
      <c r="F11" s="176">
        <f>Variables!E15*E10</f>
        <v>100000</v>
      </c>
      <c r="G11" s="176"/>
      <c r="H11" s="177"/>
      <c r="I11" s="177"/>
      <c r="J11" s="159"/>
      <c r="K11" s="159"/>
      <c r="L11" s="2"/>
      <c r="M11" s="2"/>
      <c r="N11" s="2"/>
      <c r="O11" s="2"/>
      <c r="P11" s="2"/>
      <c r="Q11" s="2"/>
      <c r="R11" s="2"/>
      <c r="S11" s="2"/>
      <c r="T11" s="2"/>
      <c r="U11" s="2"/>
      <c r="V11" s="2"/>
      <c r="W11" s="2"/>
      <c r="X11" s="2"/>
      <c r="Y11" s="2"/>
      <c r="Z11" s="2"/>
      <c r="AA11" s="2"/>
      <c r="AB11" s="2"/>
      <c r="AC11" s="2"/>
    </row>
    <row r="12" spans="2:29" ht="15.75">
      <c r="B12" s="2"/>
      <c r="C12" s="178"/>
      <c r="D12" s="68" t="s">
        <v>30</v>
      </c>
      <c r="E12" s="68"/>
      <c r="F12" s="176"/>
      <c r="G12" s="176">
        <f>Variables!E18*F11*E10</f>
        <v>14000.000000000002</v>
      </c>
      <c r="H12" s="176"/>
      <c r="I12" s="177"/>
      <c r="J12" s="159"/>
      <c r="K12" s="159"/>
      <c r="L12" s="2"/>
      <c r="M12" s="2"/>
      <c r="N12" s="2"/>
      <c r="O12" s="2"/>
      <c r="P12" s="2"/>
      <c r="Q12" s="2"/>
      <c r="R12" s="2"/>
      <c r="S12" s="2"/>
      <c r="T12" s="2"/>
      <c r="U12" s="2"/>
      <c r="V12" s="2"/>
      <c r="W12" s="2"/>
      <c r="X12" s="2"/>
      <c r="Y12" s="2"/>
      <c r="Z12" s="2"/>
      <c r="AA12" s="2"/>
      <c r="AB12" s="2"/>
      <c r="AC12" s="2"/>
    </row>
    <row r="13" spans="2:29" ht="15.75">
      <c r="B13" s="2"/>
      <c r="C13" s="178"/>
      <c r="D13" s="68" t="s">
        <v>1</v>
      </c>
      <c r="E13" s="68"/>
      <c r="F13" s="176"/>
      <c r="G13" s="176"/>
      <c r="H13" s="176">
        <f>E10*Variables!E8*'1.Machine Processing'!E8</f>
        <v>215160</v>
      </c>
      <c r="I13" s="177"/>
      <c r="J13" s="159"/>
      <c r="K13" s="159"/>
      <c r="L13" s="2"/>
      <c r="M13" s="2"/>
      <c r="N13" s="2"/>
      <c r="O13" s="2"/>
      <c r="P13" s="2"/>
      <c r="Q13" s="2"/>
      <c r="R13" s="2"/>
      <c r="S13" s="2"/>
      <c r="T13" s="2"/>
      <c r="U13" s="2"/>
      <c r="V13" s="2"/>
      <c r="W13" s="2"/>
      <c r="X13" s="2"/>
      <c r="Y13" s="2"/>
      <c r="Z13" s="2"/>
      <c r="AA13" s="2"/>
      <c r="AB13" s="2"/>
      <c r="AC13" s="2"/>
    </row>
    <row r="14" spans="2:29" ht="15.75">
      <c r="B14" s="2"/>
      <c r="C14" s="178"/>
      <c r="D14" s="68" t="s">
        <v>21</v>
      </c>
      <c r="E14" s="68"/>
      <c r="F14" s="176"/>
      <c r="G14" s="176"/>
      <c r="H14" s="176">
        <f>$E$10*Variables!E98*'1.Machine Processing'!E16</f>
        <v>158400</v>
      </c>
      <c r="I14" s="13"/>
      <c r="J14" s="159"/>
      <c r="K14" s="159"/>
      <c r="L14" s="2"/>
      <c r="M14" s="2"/>
      <c r="N14" s="2"/>
      <c r="O14" s="2"/>
      <c r="P14" s="2"/>
      <c r="Q14" s="2"/>
      <c r="R14" s="2"/>
      <c r="S14" s="2"/>
      <c r="T14" s="2"/>
      <c r="U14" s="2"/>
      <c r="V14" s="2"/>
      <c r="W14" s="2"/>
      <c r="X14" s="2"/>
      <c r="Y14" s="2"/>
      <c r="Z14" s="2"/>
      <c r="AA14" s="2"/>
      <c r="AB14" s="2"/>
      <c r="AC14" s="2"/>
    </row>
    <row r="15" spans="2:29" ht="15.75">
      <c r="B15" s="2"/>
      <c r="C15" s="178"/>
      <c r="D15" s="68" t="s">
        <v>22</v>
      </c>
      <c r="E15" s="68"/>
      <c r="F15" s="176"/>
      <c r="G15" s="176"/>
      <c r="H15" s="176">
        <f>E10*'1.Machine Processing'!E17*Variables!E99</f>
        <v>0</v>
      </c>
      <c r="I15" s="13"/>
      <c r="J15" s="159"/>
      <c r="K15" s="159"/>
      <c r="L15" s="2"/>
      <c r="M15" s="2"/>
      <c r="N15" s="2"/>
      <c r="O15" s="2"/>
      <c r="P15" s="2"/>
      <c r="Q15" s="2"/>
      <c r="R15" s="2"/>
      <c r="S15" s="2"/>
      <c r="T15" s="2"/>
      <c r="U15" s="2"/>
      <c r="V15" s="2"/>
      <c r="W15" s="2"/>
      <c r="X15" s="2"/>
      <c r="Y15" s="2"/>
      <c r="Z15" s="2"/>
      <c r="AA15" s="2"/>
      <c r="AB15" s="2"/>
      <c r="AC15" s="2"/>
    </row>
    <row r="16" spans="2:29" ht="15.75">
      <c r="B16" s="2"/>
      <c r="C16" s="72" t="s">
        <v>53</v>
      </c>
      <c r="D16" s="72"/>
      <c r="E16" s="68">
        <v>1</v>
      </c>
      <c r="F16" s="176"/>
      <c r="G16" s="176"/>
      <c r="H16" s="176"/>
      <c r="I16" s="177"/>
      <c r="J16" s="159"/>
      <c r="K16" s="159"/>
      <c r="L16" s="2"/>
      <c r="M16" s="2"/>
      <c r="N16" s="2"/>
      <c r="O16" s="2"/>
      <c r="P16" s="2"/>
      <c r="Q16" s="2"/>
      <c r="R16" s="2"/>
      <c r="S16" s="2"/>
      <c r="T16" s="2"/>
      <c r="U16" s="2"/>
      <c r="V16" s="2"/>
      <c r="W16" s="2"/>
      <c r="X16" s="2"/>
      <c r="Y16" s="2"/>
      <c r="Z16" s="2"/>
      <c r="AA16" s="2"/>
      <c r="AB16" s="2"/>
      <c r="AC16" s="2"/>
    </row>
    <row r="17" spans="2:29" ht="15.75">
      <c r="B17" s="2"/>
      <c r="C17" s="68"/>
      <c r="D17" s="67" t="s">
        <v>63</v>
      </c>
      <c r="E17" s="68"/>
      <c r="F17" s="176">
        <f>Variables!E19*E16</f>
        <v>50000</v>
      </c>
      <c r="G17" s="176"/>
      <c r="H17" s="176"/>
      <c r="I17" s="177"/>
      <c r="J17" s="159"/>
      <c r="K17" s="159"/>
      <c r="L17" s="2"/>
      <c r="M17" s="2"/>
      <c r="N17" s="2"/>
      <c r="O17" s="2"/>
      <c r="P17" s="2"/>
      <c r="Q17" s="2"/>
      <c r="R17" s="2"/>
      <c r="S17" s="2"/>
      <c r="T17" s="2"/>
      <c r="U17" s="2"/>
      <c r="V17" s="2"/>
      <c r="W17" s="2"/>
      <c r="X17" s="2"/>
      <c r="Y17" s="2"/>
      <c r="Z17" s="2"/>
      <c r="AA17" s="2"/>
      <c r="AB17" s="2"/>
      <c r="AC17" s="2"/>
    </row>
    <row r="18" spans="2:29" ht="15.75">
      <c r="B18" s="2"/>
      <c r="C18" s="72"/>
      <c r="D18" s="68" t="s">
        <v>30</v>
      </c>
      <c r="E18" s="68"/>
      <c r="F18" s="176"/>
      <c r="G18" s="176">
        <f>Variables!$E$18*F17*E16</f>
        <v>7000.0000000000009</v>
      </c>
      <c r="H18" s="176"/>
      <c r="I18" s="177"/>
      <c r="J18" s="159"/>
      <c r="K18" s="159"/>
      <c r="L18" s="2"/>
      <c r="M18" s="2"/>
      <c r="N18" s="2"/>
      <c r="O18" s="2"/>
      <c r="P18" s="2"/>
      <c r="Q18" s="2"/>
      <c r="R18" s="2"/>
      <c r="S18" s="2"/>
      <c r="T18" s="2"/>
      <c r="U18" s="2"/>
      <c r="V18" s="2"/>
      <c r="W18" s="2"/>
      <c r="X18" s="2"/>
      <c r="Y18" s="2"/>
      <c r="Z18" s="2"/>
      <c r="AA18" s="2"/>
      <c r="AB18" s="2"/>
      <c r="AC18" s="2"/>
    </row>
    <row r="19" spans="2:29" ht="15.75">
      <c r="B19" s="2"/>
      <c r="C19" s="178"/>
      <c r="D19" s="68" t="s">
        <v>21</v>
      </c>
      <c r="E19" s="68"/>
      <c r="F19" s="176"/>
      <c r="G19" s="176"/>
      <c r="H19" s="176">
        <f>$E$16*'1.Machine Processing'!E23*Variables!E98</f>
        <v>5174.4000000000005</v>
      </c>
      <c r="I19" s="13"/>
      <c r="J19" s="159"/>
      <c r="K19" s="159"/>
      <c r="L19" s="2"/>
      <c r="M19" s="2"/>
      <c r="N19" s="2"/>
      <c r="O19" s="2"/>
      <c r="P19" s="2"/>
      <c r="Q19" s="2"/>
      <c r="R19" s="2"/>
      <c r="S19" s="2"/>
      <c r="T19" s="2"/>
      <c r="U19" s="2"/>
      <c r="V19" s="2"/>
      <c r="W19" s="2"/>
      <c r="X19" s="2"/>
      <c r="Y19" s="2"/>
      <c r="Z19" s="2"/>
      <c r="AA19" s="2"/>
      <c r="AB19" s="2"/>
      <c r="AC19" s="2"/>
    </row>
    <row r="20" spans="2:29" ht="15.75">
      <c r="B20" s="2"/>
      <c r="C20" s="178"/>
      <c r="D20" s="68" t="s">
        <v>22</v>
      </c>
      <c r="E20" s="68"/>
      <c r="F20" s="176"/>
      <c r="G20" s="176"/>
      <c r="H20" s="176">
        <f>$E$16*'1.Machine Processing'!E24*Variables!E99</f>
        <v>0</v>
      </c>
      <c r="I20" s="13"/>
      <c r="J20" s="159"/>
      <c r="K20" s="159"/>
      <c r="L20" s="2"/>
      <c r="M20" s="2"/>
      <c r="N20" s="2"/>
      <c r="O20" s="2"/>
      <c r="P20" s="2"/>
      <c r="Q20" s="2"/>
      <c r="R20" s="2"/>
      <c r="S20" s="2"/>
      <c r="T20" s="2"/>
      <c r="U20" s="2"/>
      <c r="V20" s="2"/>
      <c r="W20" s="2"/>
      <c r="X20" s="2"/>
      <c r="Y20" s="2"/>
      <c r="Z20" s="2"/>
      <c r="AA20" s="2"/>
      <c r="AB20" s="2"/>
      <c r="AC20" s="2"/>
    </row>
    <row r="21" spans="2:29" s="410" customFormat="1" ht="15.75">
      <c r="B21" s="427"/>
      <c r="C21" s="428"/>
      <c r="D21" s="102" t="s">
        <v>170</v>
      </c>
      <c r="E21" s="68"/>
      <c r="F21" s="429"/>
      <c r="G21" s="429"/>
      <c r="H21" s="429"/>
      <c r="I21" s="277">
        <f>'1.Machine Processing'!I3/1000*Variables!E113*E16</f>
        <v>105600</v>
      </c>
      <c r="J21" s="420"/>
      <c r="K21" s="275"/>
      <c r="L21" s="427"/>
      <c r="M21" s="427"/>
      <c r="N21" s="427"/>
      <c r="O21" s="427"/>
      <c r="P21" s="427"/>
      <c r="Q21" s="427"/>
      <c r="R21" s="427"/>
      <c r="S21" s="427"/>
      <c r="T21" s="427"/>
      <c r="U21" s="427"/>
      <c r="V21" s="427"/>
      <c r="W21" s="427"/>
      <c r="X21" s="427"/>
      <c r="Y21" s="427"/>
      <c r="Z21" s="427"/>
      <c r="AA21" s="427"/>
      <c r="AB21" s="427"/>
      <c r="AC21" s="427"/>
    </row>
    <row r="22" spans="2:29" s="410" customFormat="1" ht="15.75">
      <c r="B22" s="427"/>
      <c r="C22" s="428"/>
      <c r="D22" s="67" t="s">
        <v>54</v>
      </c>
      <c r="E22" s="68"/>
      <c r="F22" s="429"/>
      <c r="G22" s="429"/>
      <c r="H22" s="429"/>
      <c r="I22" s="430"/>
      <c r="J22" s="420"/>
      <c r="K22" s="420"/>
      <c r="L22" s="427"/>
      <c r="M22" s="427"/>
      <c r="N22" s="427"/>
      <c r="O22" s="427"/>
      <c r="P22" s="427"/>
      <c r="Q22" s="427"/>
      <c r="R22" s="427"/>
      <c r="S22" s="427"/>
      <c r="T22" s="427"/>
      <c r="U22" s="427"/>
      <c r="V22" s="427"/>
      <c r="W22" s="427"/>
      <c r="X22" s="427"/>
      <c r="Y22" s="427"/>
      <c r="Z22" s="427"/>
      <c r="AA22" s="427"/>
      <c r="AB22" s="427"/>
      <c r="AC22" s="427"/>
    </row>
    <row r="23" spans="2:29" ht="15.75">
      <c r="B23" s="2"/>
      <c r="C23" s="73" t="s">
        <v>283</v>
      </c>
      <c r="D23" s="73"/>
      <c r="E23" s="68">
        <v>1</v>
      </c>
      <c r="F23" s="74"/>
      <c r="G23" s="176"/>
      <c r="H23" s="176"/>
      <c r="I23" s="177"/>
      <c r="J23" s="159"/>
      <c r="K23" s="275"/>
      <c r="L23" s="2"/>
      <c r="M23" s="2"/>
      <c r="N23" s="2"/>
      <c r="O23" s="2"/>
      <c r="P23" s="2"/>
      <c r="Q23" s="2"/>
      <c r="R23" s="2"/>
      <c r="S23" s="2"/>
      <c r="T23" s="2"/>
      <c r="U23" s="2"/>
      <c r="V23" s="2"/>
      <c r="W23" s="2"/>
      <c r="X23" s="2"/>
      <c r="Y23" s="2"/>
      <c r="Z23" s="2"/>
      <c r="AA23" s="2"/>
      <c r="AB23" s="2"/>
      <c r="AC23" s="2"/>
    </row>
    <row r="24" spans="2:29" ht="15.75">
      <c r="B24" s="2"/>
      <c r="C24" s="178"/>
      <c r="D24" s="67" t="s">
        <v>63</v>
      </c>
      <c r="E24" s="68"/>
      <c r="F24" s="176">
        <f>Variables!E23*E23</f>
        <v>10000</v>
      </c>
      <c r="G24" s="176"/>
      <c r="H24" s="176"/>
      <c r="I24" s="177"/>
      <c r="J24" s="159"/>
      <c r="K24" s="159"/>
      <c r="L24" s="2"/>
      <c r="M24" s="2"/>
      <c r="N24" s="2"/>
      <c r="O24" s="2"/>
      <c r="P24" s="2"/>
      <c r="Q24" s="2"/>
      <c r="R24" s="2"/>
      <c r="S24" s="2"/>
      <c r="T24" s="2"/>
      <c r="U24" s="2"/>
      <c r="V24" s="2"/>
      <c r="W24" s="2"/>
      <c r="X24" s="2"/>
      <c r="Y24" s="2"/>
      <c r="Z24" s="2"/>
      <c r="AA24" s="2"/>
      <c r="AB24" s="2"/>
      <c r="AC24" s="2"/>
    </row>
    <row r="25" spans="2:29" ht="15.75">
      <c r="B25" s="2"/>
      <c r="C25" s="73"/>
      <c r="D25" s="68" t="s">
        <v>30</v>
      </c>
      <c r="E25" s="68"/>
      <c r="F25" s="176"/>
      <c r="G25" s="176">
        <f>Variables!$E$18*'1.Process Cost-Benefit'!F24*E23</f>
        <v>1400.0000000000002</v>
      </c>
      <c r="H25" s="176"/>
      <c r="I25" s="177"/>
      <c r="J25" s="159"/>
      <c r="K25" s="159"/>
      <c r="L25" s="2"/>
      <c r="M25" s="2"/>
      <c r="N25" s="2"/>
      <c r="O25" s="2"/>
      <c r="P25" s="2"/>
      <c r="Q25" s="2"/>
      <c r="R25" s="2"/>
      <c r="S25" s="2"/>
      <c r="T25" s="2"/>
      <c r="U25" s="2"/>
      <c r="V25" s="2"/>
      <c r="W25" s="2"/>
      <c r="X25" s="2"/>
      <c r="Y25" s="2"/>
      <c r="Z25" s="2"/>
      <c r="AA25" s="2"/>
      <c r="AB25" s="2"/>
      <c r="AC25" s="2"/>
    </row>
    <row r="26" spans="2:29" ht="15.75">
      <c r="B26" s="2"/>
      <c r="C26" s="73"/>
      <c r="D26" s="68" t="s">
        <v>21</v>
      </c>
      <c r="E26" s="68"/>
      <c r="F26" s="176"/>
      <c r="G26" s="176"/>
      <c r="H26" s="176">
        <f>$E$23*'1.Machine Processing'!E29*Variables!E98</f>
        <v>0</v>
      </c>
      <c r="I26" s="13"/>
      <c r="J26" s="159"/>
      <c r="K26" s="159"/>
      <c r="L26" s="2"/>
      <c r="M26" s="2"/>
      <c r="N26" s="2"/>
      <c r="O26" s="2"/>
      <c r="P26" s="2"/>
      <c r="Q26" s="2"/>
      <c r="R26" s="2"/>
      <c r="S26" s="2"/>
      <c r="T26" s="2"/>
      <c r="U26" s="2"/>
      <c r="V26" s="2"/>
      <c r="W26" s="2"/>
      <c r="X26" s="2"/>
      <c r="Y26" s="2"/>
      <c r="Z26" s="2"/>
      <c r="AA26" s="2"/>
      <c r="AB26" s="2"/>
      <c r="AC26" s="2"/>
    </row>
    <row r="27" spans="2:29" ht="15.75">
      <c r="B27" s="2"/>
      <c r="C27" s="73"/>
      <c r="D27" s="68" t="s">
        <v>22</v>
      </c>
      <c r="E27" s="68"/>
      <c r="F27" s="176"/>
      <c r="G27" s="176"/>
      <c r="H27" s="176">
        <f>$E$23*'1.Machine Processing'!E30*Variables!E99</f>
        <v>0</v>
      </c>
      <c r="I27" s="13"/>
      <c r="J27" s="159"/>
      <c r="K27" s="159"/>
      <c r="L27" s="2"/>
      <c r="M27" s="2"/>
      <c r="N27" s="2"/>
      <c r="O27" s="2"/>
      <c r="P27" s="2"/>
      <c r="Q27" s="2"/>
      <c r="R27" s="2"/>
      <c r="S27" s="2"/>
      <c r="T27" s="2"/>
      <c r="U27" s="2"/>
      <c r="V27" s="2"/>
      <c r="W27" s="2"/>
      <c r="X27" s="2"/>
      <c r="Y27" s="2"/>
      <c r="Z27" s="2"/>
      <c r="AA27" s="2"/>
      <c r="AB27" s="2"/>
      <c r="AC27" s="2"/>
    </row>
    <row r="28" spans="2:29" ht="15.75">
      <c r="B28" s="2"/>
      <c r="C28" s="73"/>
      <c r="D28" s="68" t="s">
        <v>54</v>
      </c>
      <c r="E28" s="68"/>
      <c r="F28" s="176"/>
      <c r="G28" s="176"/>
      <c r="H28" s="176"/>
      <c r="I28" s="177"/>
      <c r="J28" s="159"/>
      <c r="K28" s="159"/>
      <c r="L28" s="2"/>
      <c r="M28" s="2"/>
      <c r="N28" s="2"/>
      <c r="O28" s="2"/>
      <c r="P28" s="2"/>
      <c r="Q28" s="2"/>
      <c r="R28" s="2"/>
      <c r="S28" s="2"/>
      <c r="T28" s="2"/>
      <c r="U28" s="2"/>
      <c r="V28" s="2"/>
      <c r="W28" s="2"/>
      <c r="X28" s="2"/>
      <c r="Y28" s="2"/>
      <c r="Z28" s="2"/>
      <c r="AA28" s="2"/>
      <c r="AB28" s="2"/>
      <c r="AC28" s="2"/>
    </row>
    <row r="29" spans="2:29" ht="15.75">
      <c r="B29" s="2"/>
      <c r="C29" s="72" t="s">
        <v>55</v>
      </c>
      <c r="D29" s="72"/>
      <c r="E29" s="68">
        <v>1</v>
      </c>
      <c r="F29" s="176"/>
      <c r="G29" s="176"/>
      <c r="H29" s="176"/>
      <c r="I29" s="177"/>
      <c r="J29" s="159"/>
      <c r="K29" s="159"/>
      <c r="L29" s="2"/>
      <c r="M29" s="2"/>
      <c r="N29" s="2"/>
      <c r="O29" s="2"/>
      <c r="P29" s="2"/>
      <c r="Q29" s="2"/>
      <c r="R29" s="2"/>
      <c r="S29" s="2"/>
      <c r="T29" s="2"/>
      <c r="U29" s="2"/>
      <c r="V29" s="2"/>
      <c r="W29" s="2"/>
      <c r="X29" s="2"/>
      <c r="Y29" s="2"/>
      <c r="Z29" s="2"/>
      <c r="AA29" s="2"/>
      <c r="AB29" s="2"/>
      <c r="AC29" s="2"/>
    </row>
    <row r="30" spans="2:29" ht="15.75">
      <c r="B30" s="2"/>
      <c r="C30" s="68"/>
      <c r="D30" s="67" t="s">
        <v>63</v>
      </c>
      <c r="E30" s="68"/>
      <c r="F30" s="176">
        <f>Variables!E27*E29</f>
        <v>200000</v>
      </c>
      <c r="G30" s="176"/>
      <c r="H30" s="176"/>
      <c r="I30" s="177"/>
      <c r="J30" s="159"/>
      <c r="K30" s="159"/>
      <c r="L30" s="2"/>
      <c r="M30" s="2"/>
      <c r="N30" s="2"/>
      <c r="O30" s="2"/>
      <c r="P30" s="2"/>
      <c r="Q30" s="2"/>
      <c r="R30" s="2"/>
      <c r="S30" s="2"/>
      <c r="T30" s="2"/>
      <c r="U30" s="2"/>
      <c r="V30" s="2"/>
      <c r="W30" s="2"/>
      <c r="X30" s="2"/>
      <c r="Y30" s="2"/>
      <c r="Z30" s="2"/>
      <c r="AA30" s="2"/>
      <c r="AB30" s="2"/>
      <c r="AC30" s="2"/>
    </row>
    <row r="31" spans="2:29" ht="15.75">
      <c r="B31" s="2"/>
      <c r="C31" s="178"/>
      <c r="D31" s="68" t="s">
        <v>30</v>
      </c>
      <c r="E31" s="68"/>
      <c r="F31" s="176"/>
      <c r="G31" s="176">
        <f>Variables!$E$18*'1.Process Cost-Benefit'!F30*E29</f>
        <v>28000.000000000004</v>
      </c>
      <c r="H31" s="176"/>
      <c r="I31" s="177"/>
      <c r="J31" s="159"/>
      <c r="K31" s="159"/>
      <c r="L31" s="2"/>
      <c r="M31" s="2"/>
      <c r="N31" s="2"/>
      <c r="O31" s="2"/>
      <c r="P31" s="2"/>
      <c r="Q31" s="2"/>
      <c r="R31" s="2"/>
      <c r="S31" s="2"/>
      <c r="T31" s="2"/>
      <c r="U31" s="2"/>
      <c r="V31" s="2"/>
      <c r="W31" s="2"/>
      <c r="X31" s="2"/>
      <c r="Y31" s="2"/>
      <c r="Z31" s="2"/>
      <c r="AA31" s="2"/>
      <c r="AB31" s="2"/>
      <c r="AC31" s="2"/>
    </row>
    <row r="32" spans="2:29" ht="15.75">
      <c r="B32" s="2"/>
      <c r="C32" s="72"/>
      <c r="D32" s="68" t="s">
        <v>21</v>
      </c>
      <c r="E32" s="68"/>
      <c r="F32" s="176"/>
      <c r="G32" s="176"/>
      <c r="H32" s="176">
        <f>$E$29*'1.Machine Processing'!E36*Variables!E98</f>
        <v>3531.2640000000001</v>
      </c>
      <c r="I32" s="13"/>
      <c r="J32" s="159"/>
      <c r="K32" s="159"/>
      <c r="L32" s="2"/>
      <c r="M32" s="2"/>
      <c r="N32" s="2"/>
      <c r="O32" s="2"/>
      <c r="P32" s="2"/>
      <c r="Q32" s="2"/>
      <c r="R32" s="2"/>
      <c r="S32" s="2"/>
      <c r="T32" s="2"/>
      <c r="U32" s="2"/>
      <c r="V32" s="2"/>
      <c r="W32" s="2"/>
      <c r="X32" s="2"/>
      <c r="Y32" s="2"/>
      <c r="Z32" s="2"/>
      <c r="AA32" s="2"/>
      <c r="AB32" s="2"/>
      <c r="AC32" s="2"/>
    </row>
    <row r="33" spans="2:29" ht="15.75">
      <c r="B33" s="2"/>
      <c r="C33" s="72"/>
      <c r="D33" s="68" t="s">
        <v>22</v>
      </c>
      <c r="E33" s="68"/>
      <c r="F33" s="176"/>
      <c r="G33" s="176"/>
      <c r="H33" s="177">
        <f>$E$29*'1.Machine Processing'!E37*Variables!E99</f>
        <v>0</v>
      </c>
      <c r="I33" s="13"/>
      <c r="J33" s="159"/>
      <c r="K33" s="159"/>
      <c r="L33" s="2"/>
      <c r="M33" s="2"/>
      <c r="N33" s="2"/>
      <c r="O33" s="2"/>
      <c r="P33" s="2"/>
      <c r="Q33" s="2"/>
      <c r="R33" s="2"/>
      <c r="S33" s="2"/>
      <c r="T33" s="2"/>
      <c r="U33" s="2"/>
      <c r="V33" s="2"/>
      <c r="W33" s="2"/>
      <c r="X33" s="2"/>
      <c r="Y33" s="2"/>
      <c r="Z33" s="2"/>
      <c r="AA33" s="2"/>
      <c r="AB33" s="2"/>
      <c r="AC33" s="2"/>
    </row>
    <row r="34" spans="2:29" ht="15.75">
      <c r="B34" s="2"/>
      <c r="C34" s="72"/>
      <c r="D34" s="110" t="s">
        <v>139</v>
      </c>
      <c r="E34" s="68"/>
      <c r="F34" s="176"/>
      <c r="G34" s="176"/>
      <c r="H34" s="177"/>
      <c r="I34" s="176">
        <f>'1.Machine Processing'!I4/1000*Variables!E109*E29</f>
        <v>115033.59999999999</v>
      </c>
      <c r="J34" s="159"/>
      <c r="K34" s="159"/>
      <c r="L34" s="2"/>
      <c r="M34" s="2"/>
      <c r="N34" s="2"/>
      <c r="O34" s="2"/>
      <c r="P34" s="2"/>
      <c r="Q34" s="2"/>
      <c r="R34" s="2"/>
      <c r="S34" s="2"/>
      <c r="T34" s="2"/>
      <c r="U34" s="2"/>
      <c r="V34" s="2"/>
      <c r="W34" s="2"/>
      <c r="X34" s="2"/>
      <c r="Y34" s="2"/>
      <c r="Z34" s="2"/>
      <c r="AA34" s="2"/>
      <c r="AB34" s="2"/>
      <c r="AC34" s="2"/>
    </row>
    <row r="35" spans="2:29" ht="15.75">
      <c r="B35" s="2"/>
      <c r="C35" s="72"/>
      <c r="D35" s="103" t="s">
        <v>144</v>
      </c>
      <c r="E35" s="68"/>
      <c r="F35" s="176"/>
      <c r="G35" s="176"/>
      <c r="H35" s="177"/>
      <c r="I35" s="177"/>
      <c r="J35" s="159"/>
      <c r="K35" s="159"/>
      <c r="L35" s="2"/>
      <c r="M35" s="2"/>
      <c r="N35" s="2"/>
      <c r="O35" s="2"/>
      <c r="P35" s="2"/>
      <c r="Q35" s="2"/>
      <c r="R35" s="2"/>
      <c r="S35" s="2"/>
      <c r="T35" s="2"/>
      <c r="U35" s="2"/>
      <c r="V35" s="2"/>
      <c r="W35" s="2"/>
      <c r="X35" s="2"/>
      <c r="Y35" s="2"/>
      <c r="Z35" s="2"/>
      <c r="AA35" s="2"/>
      <c r="AB35" s="2"/>
      <c r="AC35" s="2"/>
    </row>
    <row r="36" spans="2:29" ht="15.75">
      <c r="B36" s="2"/>
      <c r="C36" s="17" t="s">
        <v>17</v>
      </c>
      <c r="D36" s="77"/>
      <c r="E36" s="78"/>
      <c r="F36" s="176"/>
      <c r="G36" s="176"/>
      <c r="H36" s="177"/>
      <c r="I36" s="177"/>
      <c r="J36" s="159"/>
      <c r="K36" s="159"/>
      <c r="L36" s="2"/>
      <c r="M36" s="2"/>
      <c r="N36" s="2"/>
      <c r="O36" s="2"/>
      <c r="P36" s="2"/>
      <c r="Q36" s="2"/>
      <c r="R36" s="2"/>
      <c r="S36" s="2"/>
      <c r="T36" s="2"/>
      <c r="U36" s="2"/>
      <c r="V36" s="2"/>
      <c r="W36" s="2"/>
      <c r="X36" s="2"/>
      <c r="Y36" s="2"/>
      <c r="Z36" s="2"/>
      <c r="AA36" s="2"/>
      <c r="AB36" s="2"/>
      <c r="AC36" s="2"/>
    </row>
    <row r="37" spans="2:29" ht="15.75">
      <c r="B37" s="2"/>
      <c r="C37" s="76"/>
      <c r="D37" s="77" t="s">
        <v>181</v>
      </c>
      <c r="E37" s="78"/>
      <c r="F37" s="176"/>
      <c r="G37" s="176">
        <f>'1.Machine Processing'!E40*Variables!E100</f>
        <v>109400</v>
      </c>
      <c r="I37" s="177"/>
      <c r="J37" s="159"/>
      <c r="K37" s="159"/>
      <c r="L37" s="2"/>
      <c r="M37" s="2"/>
      <c r="N37" s="2"/>
      <c r="O37" s="2"/>
      <c r="P37" s="2"/>
      <c r="Q37" s="2"/>
      <c r="R37" s="2"/>
      <c r="S37" s="2"/>
      <c r="T37" s="2"/>
      <c r="U37" s="2"/>
      <c r="V37" s="2"/>
      <c r="W37" s="2"/>
      <c r="X37" s="2"/>
      <c r="Y37" s="2"/>
      <c r="Z37" s="2"/>
      <c r="AA37" s="2"/>
      <c r="AB37" s="2"/>
      <c r="AC37" s="2"/>
    </row>
    <row r="38" spans="2:29" ht="30" customHeight="1">
      <c r="B38" s="2"/>
      <c r="C38" s="108"/>
      <c r="D38" s="278" t="s">
        <v>288</v>
      </c>
      <c r="E38" s="78"/>
      <c r="F38" s="277">
        <f>150%*SUM(F11+F17+F24+F30)</f>
        <v>540000</v>
      </c>
      <c r="G38" s="176"/>
      <c r="H38" s="177"/>
      <c r="I38" s="177"/>
      <c r="J38" s="159"/>
      <c r="K38" s="435" t="s">
        <v>278</v>
      </c>
      <c r="L38" s="385" t="s">
        <v>101</v>
      </c>
      <c r="M38" s="2"/>
      <c r="N38" s="2"/>
      <c r="O38" s="2"/>
      <c r="P38" s="2"/>
      <c r="Q38" s="2"/>
      <c r="R38" s="2"/>
      <c r="S38" s="2"/>
      <c r="T38" s="2"/>
      <c r="U38" s="2"/>
      <c r="V38" s="2"/>
      <c r="W38" s="2"/>
      <c r="X38" s="2"/>
      <c r="Y38" s="2"/>
      <c r="Z38" s="2"/>
      <c r="AA38" s="2"/>
      <c r="AB38" s="2"/>
      <c r="AC38" s="2"/>
    </row>
    <row r="39" spans="2:29" ht="30" customHeight="1">
      <c r="B39" s="2"/>
      <c r="C39" s="108"/>
      <c r="D39" s="278" t="s">
        <v>259</v>
      </c>
      <c r="E39" s="78"/>
      <c r="F39" s="176">
        <f>3 * 1250</f>
        <v>3750</v>
      </c>
      <c r="G39" s="176"/>
      <c r="H39" s="177"/>
      <c r="I39" s="177"/>
      <c r="J39" s="159"/>
      <c r="K39" s="276" t="s">
        <v>190</v>
      </c>
      <c r="L39" s="2" t="s">
        <v>189</v>
      </c>
      <c r="M39" s="2"/>
      <c r="N39" s="2"/>
      <c r="O39" s="2"/>
      <c r="P39" s="2"/>
      <c r="Q39" s="2"/>
      <c r="R39" s="2"/>
      <c r="S39" s="2"/>
      <c r="T39" s="2"/>
      <c r="U39" s="2"/>
      <c r="V39" s="2"/>
      <c r="W39" s="2"/>
      <c r="X39" s="2"/>
      <c r="Y39" s="2"/>
      <c r="Z39" s="2"/>
      <c r="AA39" s="2"/>
      <c r="AB39" s="2"/>
      <c r="AC39" s="2"/>
    </row>
    <row r="40" spans="2:29" ht="18.95" customHeight="1" thickBot="1">
      <c r="B40" s="2"/>
      <c r="C40" s="431"/>
      <c r="D40" s="442"/>
      <c r="E40" s="432"/>
      <c r="F40" s="433"/>
      <c r="G40" s="433"/>
      <c r="H40" s="434"/>
      <c r="I40" s="434"/>
      <c r="J40" s="159"/>
      <c r="K40" s="276"/>
      <c r="L40" s="2"/>
      <c r="M40" s="2"/>
      <c r="N40" s="2"/>
      <c r="O40" s="2"/>
      <c r="P40" s="2"/>
      <c r="Q40" s="2"/>
      <c r="R40" s="2"/>
      <c r="S40" s="2"/>
      <c r="T40" s="2"/>
      <c r="U40" s="2"/>
      <c r="V40" s="2"/>
      <c r="W40" s="2"/>
      <c r="X40" s="2"/>
      <c r="Y40" s="2"/>
      <c r="Z40" s="2"/>
      <c r="AA40" s="2"/>
      <c r="AB40" s="2"/>
      <c r="AC40" s="2"/>
    </row>
    <row r="41" spans="2:29" ht="18" customHeight="1" thickTop="1">
      <c r="B41" s="2"/>
      <c r="C41" s="62" t="s">
        <v>31</v>
      </c>
      <c r="D41" s="174"/>
      <c r="E41" s="174"/>
      <c r="F41" s="98">
        <f>SUM(F10:F39)</f>
        <v>903750</v>
      </c>
      <c r="G41" s="98">
        <f>SUM(G10:G39)</f>
        <v>159800</v>
      </c>
      <c r="H41" s="98">
        <f>SUM(H10:H39)</f>
        <v>382265.66400000005</v>
      </c>
      <c r="I41" s="98">
        <f>SUM(I10:I39)</f>
        <v>220633.59999999998</v>
      </c>
      <c r="J41" s="159"/>
      <c r="K41" s="159"/>
      <c r="L41" s="2"/>
      <c r="M41" s="2"/>
      <c r="N41" s="2"/>
      <c r="O41" s="2"/>
      <c r="P41" s="2"/>
      <c r="Q41" s="2"/>
      <c r="R41" s="2"/>
      <c r="S41" s="2"/>
      <c r="T41" s="2"/>
      <c r="U41" s="2"/>
      <c r="V41" s="2"/>
      <c r="W41" s="2"/>
      <c r="X41" s="2"/>
      <c r="Y41" s="2"/>
      <c r="Z41" s="2"/>
      <c r="AA41" s="2"/>
      <c r="AB41" s="2"/>
      <c r="AC41" s="2"/>
    </row>
    <row r="42" spans="2:29" ht="15.75">
      <c r="B42" s="2"/>
      <c r="C42" s="159"/>
      <c r="D42" s="159"/>
      <c r="E42" s="159"/>
      <c r="F42" s="159"/>
      <c r="G42" s="159"/>
      <c r="H42" s="159"/>
      <c r="I42" s="159"/>
      <c r="J42" s="159"/>
      <c r="K42" s="159"/>
      <c r="L42" s="2"/>
      <c r="M42" s="2"/>
      <c r="N42" s="2"/>
      <c r="O42" s="2"/>
      <c r="P42" s="2"/>
      <c r="Q42" s="2"/>
      <c r="R42" s="2"/>
      <c r="S42" s="2"/>
      <c r="T42" s="2"/>
      <c r="U42" s="2"/>
      <c r="V42" s="2"/>
      <c r="W42" s="2"/>
      <c r="X42" s="2"/>
      <c r="Y42" s="2"/>
      <c r="Z42" s="2"/>
      <c r="AA42" s="2"/>
      <c r="AB42" s="2"/>
      <c r="AC42" s="2"/>
    </row>
    <row r="43" spans="2:29" ht="15.75">
      <c r="B43" s="2"/>
      <c r="H43" s="46"/>
      <c r="J43" s="159"/>
      <c r="K43" s="159"/>
      <c r="L43" s="2"/>
      <c r="M43" s="2"/>
      <c r="N43" s="2"/>
      <c r="O43" s="2"/>
      <c r="P43" s="2"/>
      <c r="Q43" s="2"/>
      <c r="R43" s="2"/>
      <c r="S43" s="2"/>
      <c r="T43" s="2"/>
      <c r="U43" s="2"/>
      <c r="V43" s="2"/>
      <c r="W43" s="2"/>
      <c r="X43" s="2"/>
      <c r="Y43" s="2"/>
      <c r="Z43" s="2"/>
      <c r="AA43" s="2"/>
      <c r="AB43" s="2"/>
      <c r="AC43" s="2"/>
    </row>
    <row r="44" spans="2:29" ht="15.75">
      <c r="B44" s="2"/>
      <c r="J44" s="159"/>
      <c r="K44" s="159"/>
      <c r="L44" s="2"/>
      <c r="M44" s="2"/>
      <c r="N44" s="2"/>
      <c r="O44" s="2"/>
      <c r="P44" s="2"/>
      <c r="Q44" s="2"/>
      <c r="R44" s="2"/>
      <c r="S44" s="2"/>
      <c r="T44" s="2"/>
      <c r="U44" s="2"/>
      <c r="V44" s="2"/>
      <c r="W44" s="2"/>
      <c r="X44" s="2"/>
      <c r="Y44" s="2"/>
      <c r="Z44" s="2"/>
      <c r="AA44" s="2"/>
      <c r="AB44" s="2"/>
      <c r="AC44" s="2"/>
    </row>
    <row r="45" spans="2:29" ht="15.75">
      <c r="B45" s="2"/>
      <c r="C45" s="159"/>
      <c r="D45" s="159"/>
      <c r="E45" s="2"/>
      <c r="F45" s="2"/>
      <c r="G45" s="2"/>
      <c r="H45" s="159"/>
      <c r="I45" s="2"/>
      <c r="J45" s="2"/>
      <c r="K45" s="2"/>
      <c r="L45" s="2"/>
      <c r="M45" s="2"/>
      <c r="N45" s="2"/>
      <c r="O45" s="2"/>
      <c r="P45" s="2"/>
      <c r="Q45" s="2"/>
      <c r="R45" s="2"/>
      <c r="S45" s="2"/>
      <c r="T45" s="2"/>
      <c r="U45" s="2"/>
      <c r="V45" s="2"/>
      <c r="W45" s="2"/>
      <c r="X45" s="2"/>
      <c r="Y45" s="2"/>
      <c r="Z45" s="2"/>
      <c r="AA45" s="2"/>
      <c r="AB45" s="2"/>
      <c r="AC45" s="2"/>
    </row>
    <row r="46" spans="2:29" ht="15.75">
      <c r="B46" s="2"/>
      <c r="C46" s="159"/>
      <c r="D46" s="159"/>
      <c r="E46" s="2"/>
      <c r="F46" s="2"/>
      <c r="G46" s="2"/>
      <c r="H46" s="159"/>
      <c r="I46" s="2"/>
      <c r="J46" s="2"/>
      <c r="K46" s="2"/>
      <c r="L46" s="2"/>
      <c r="M46" s="2"/>
      <c r="N46" s="2"/>
      <c r="O46" s="2"/>
      <c r="P46" s="2"/>
      <c r="Q46" s="2"/>
      <c r="R46" s="2"/>
      <c r="S46" s="2"/>
      <c r="T46" s="2"/>
      <c r="U46" s="2"/>
      <c r="V46" s="2"/>
      <c r="W46" s="2"/>
      <c r="X46" s="2"/>
      <c r="Y46" s="2"/>
      <c r="Z46" s="2"/>
      <c r="AA46" s="2"/>
      <c r="AB46" s="2"/>
      <c r="AC46" s="2"/>
    </row>
    <row r="47" spans="2:29" ht="15.75">
      <c r="B47" s="2"/>
      <c r="C47" s="159"/>
      <c r="D47" s="159"/>
      <c r="E47" s="2"/>
      <c r="F47" s="2"/>
      <c r="G47" s="2"/>
      <c r="H47" s="2"/>
      <c r="I47" s="2"/>
      <c r="J47" s="2"/>
      <c r="K47" s="2"/>
      <c r="L47" s="2"/>
      <c r="M47" s="2"/>
      <c r="N47" s="2"/>
      <c r="O47" s="2"/>
      <c r="P47" s="2"/>
      <c r="Q47" s="2"/>
      <c r="R47" s="2"/>
      <c r="S47" s="2"/>
      <c r="T47" s="2"/>
      <c r="U47" s="2"/>
      <c r="V47" s="2"/>
      <c r="W47" s="2"/>
      <c r="X47" s="2"/>
      <c r="Y47" s="2"/>
      <c r="Z47" s="2"/>
      <c r="AA47" s="2"/>
      <c r="AB47" s="2"/>
      <c r="AC47" s="2"/>
    </row>
    <row r="48" spans="2:29" ht="15.75">
      <c r="B48" s="2"/>
      <c r="C48" s="159"/>
      <c r="D48" s="159"/>
      <c r="E48" s="2"/>
      <c r="F48" s="2"/>
      <c r="G48" s="2"/>
      <c r="H48" s="2"/>
      <c r="I48" s="2"/>
      <c r="J48" s="2"/>
      <c r="K48" s="2"/>
      <c r="L48" s="2"/>
      <c r="M48" s="2"/>
      <c r="N48" s="2"/>
      <c r="O48" s="2"/>
      <c r="P48" s="2"/>
      <c r="Q48" s="2"/>
      <c r="R48" s="2"/>
      <c r="S48" s="2"/>
      <c r="T48" s="2"/>
      <c r="U48" s="2"/>
      <c r="V48" s="2"/>
      <c r="W48" s="2"/>
      <c r="X48" s="2"/>
      <c r="Y48" s="2"/>
      <c r="Z48" s="2"/>
      <c r="AA48" s="2"/>
      <c r="AB48" s="2"/>
      <c r="AC48" s="2"/>
    </row>
    <row r="49" spans="2:29" ht="15.75">
      <c r="B49" s="2"/>
      <c r="C49" s="159"/>
      <c r="D49" s="159"/>
      <c r="E49" s="2"/>
      <c r="F49" s="2"/>
      <c r="G49" s="2"/>
      <c r="H49" s="2"/>
      <c r="I49" s="2"/>
      <c r="J49" s="2"/>
      <c r="K49" s="2"/>
      <c r="L49" s="2"/>
      <c r="M49" s="2"/>
      <c r="N49" s="2"/>
      <c r="O49" s="2"/>
      <c r="P49" s="2"/>
      <c r="Q49" s="2"/>
      <c r="R49" s="2"/>
      <c r="S49" s="2"/>
      <c r="T49" s="2"/>
      <c r="U49" s="2"/>
      <c r="V49" s="2"/>
      <c r="W49" s="2"/>
      <c r="X49" s="2"/>
      <c r="Y49" s="2"/>
      <c r="Z49" s="2"/>
      <c r="AA49" s="2"/>
      <c r="AB49" s="2"/>
      <c r="AC49" s="2"/>
    </row>
    <row r="50" spans="2:29" ht="15.75">
      <c r="B50" s="2"/>
      <c r="C50" s="159"/>
      <c r="D50" s="159"/>
      <c r="E50" s="2"/>
      <c r="F50" s="2"/>
      <c r="G50" s="2"/>
      <c r="H50" s="2"/>
      <c r="I50" s="2"/>
      <c r="J50" s="2"/>
      <c r="K50" s="2"/>
      <c r="L50" s="2"/>
      <c r="M50" s="2"/>
      <c r="N50" s="2"/>
      <c r="O50" s="2"/>
      <c r="P50" s="2"/>
      <c r="Q50" s="2"/>
      <c r="R50" s="2"/>
      <c r="S50" s="2"/>
      <c r="T50" s="2"/>
      <c r="U50" s="2"/>
      <c r="V50" s="2"/>
      <c r="W50" s="2"/>
      <c r="X50" s="2"/>
      <c r="Y50" s="2"/>
      <c r="Z50" s="2"/>
      <c r="AA50" s="2"/>
      <c r="AB50" s="2"/>
      <c r="AC50" s="2"/>
    </row>
    <row r="51" spans="2:29" ht="15.75">
      <c r="B51" s="2"/>
      <c r="C51" s="159"/>
      <c r="D51" s="159"/>
      <c r="E51" s="2"/>
      <c r="F51" s="2"/>
      <c r="G51" s="2"/>
      <c r="H51" s="2"/>
      <c r="I51" s="2"/>
      <c r="J51" s="2"/>
      <c r="K51" s="2"/>
      <c r="L51" s="2"/>
      <c r="M51" s="2"/>
      <c r="N51" s="2"/>
      <c r="O51" s="2"/>
      <c r="P51" s="2"/>
      <c r="Q51" s="2"/>
      <c r="R51" s="2"/>
      <c r="S51" s="2"/>
      <c r="T51" s="2"/>
      <c r="U51" s="2"/>
      <c r="V51" s="2"/>
      <c r="W51" s="2"/>
      <c r="X51" s="2"/>
      <c r="Y51" s="2"/>
      <c r="Z51" s="2"/>
      <c r="AA51" s="2"/>
      <c r="AB51" s="2"/>
      <c r="AC51" s="2"/>
    </row>
    <row r="52" spans="2:29" ht="15.75">
      <c r="B52" s="2"/>
      <c r="C52" s="159"/>
      <c r="D52" s="159"/>
      <c r="E52" s="2"/>
      <c r="F52" s="2"/>
      <c r="G52" s="2"/>
      <c r="H52" s="2"/>
      <c r="I52" s="2"/>
      <c r="J52" s="2"/>
      <c r="K52" s="2"/>
      <c r="L52" s="2"/>
      <c r="M52" s="2"/>
      <c r="N52" s="2"/>
      <c r="O52" s="2"/>
      <c r="P52" s="2"/>
      <c r="Q52" s="2"/>
      <c r="R52" s="2"/>
      <c r="S52" s="2"/>
      <c r="T52" s="2"/>
      <c r="U52" s="2"/>
      <c r="V52" s="2"/>
      <c r="W52" s="2"/>
      <c r="X52" s="2"/>
      <c r="Y52" s="2"/>
      <c r="Z52" s="2"/>
      <c r="AA52" s="2"/>
      <c r="AB52" s="2"/>
      <c r="AC52" s="2"/>
    </row>
    <row r="53" spans="2:29" ht="15.75">
      <c r="B53" s="2"/>
      <c r="C53" s="159"/>
      <c r="D53" s="159"/>
      <c r="E53" s="2"/>
      <c r="F53" s="2"/>
      <c r="G53" s="2"/>
      <c r="H53" s="2"/>
      <c r="I53" s="2"/>
      <c r="J53" s="2"/>
      <c r="K53" s="2"/>
      <c r="L53" s="2"/>
      <c r="M53" s="2"/>
      <c r="N53" s="2"/>
      <c r="O53" s="2"/>
      <c r="P53" s="2"/>
      <c r="Q53" s="2"/>
      <c r="R53" s="2"/>
      <c r="S53" s="2"/>
      <c r="T53" s="2"/>
      <c r="U53" s="2"/>
      <c r="V53" s="2"/>
      <c r="W53" s="2"/>
      <c r="X53" s="2"/>
      <c r="Y53" s="2"/>
      <c r="Z53" s="2"/>
      <c r="AA53" s="2"/>
      <c r="AB53" s="2"/>
      <c r="AC53" s="2"/>
    </row>
    <row r="54" spans="2:29" ht="15.75">
      <c r="B54" s="2"/>
      <c r="C54" s="159"/>
      <c r="D54" s="159"/>
      <c r="E54" s="2"/>
      <c r="F54" s="2"/>
      <c r="G54" s="2"/>
      <c r="H54" s="2"/>
      <c r="I54" s="2"/>
      <c r="J54" s="2"/>
      <c r="K54" s="2"/>
      <c r="L54" s="2"/>
      <c r="M54" s="2"/>
      <c r="N54" s="2"/>
      <c r="O54" s="2"/>
      <c r="P54" s="2"/>
      <c r="Q54" s="2"/>
      <c r="R54" s="2"/>
      <c r="S54" s="2"/>
      <c r="T54" s="2"/>
      <c r="U54" s="2"/>
      <c r="V54" s="2"/>
      <c r="W54" s="2"/>
      <c r="X54" s="2"/>
      <c r="Y54" s="2"/>
      <c r="Z54" s="2"/>
      <c r="AA54" s="2"/>
      <c r="AB54" s="2"/>
      <c r="AC54" s="2"/>
    </row>
    <row r="55" spans="2:29" ht="15.75">
      <c r="B55" s="2"/>
      <c r="C55" s="159"/>
      <c r="D55" s="159"/>
      <c r="E55" s="2"/>
      <c r="F55" s="2"/>
      <c r="G55" s="2"/>
      <c r="H55" s="2"/>
      <c r="I55" s="2"/>
      <c r="J55" s="2"/>
      <c r="K55" s="2"/>
      <c r="L55" s="2"/>
      <c r="M55" s="2"/>
      <c r="N55" s="2"/>
      <c r="O55" s="2"/>
      <c r="P55" s="2"/>
      <c r="Q55" s="2"/>
      <c r="R55" s="2"/>
      <c r="S55" s="2"/>
      <c r="T55" s="2"/>
      <c r="U55" s="2"/>
      <c r="V55" s="2"/>
      <c r="W55" s="2"/>
      <c r="X55" s="2"/>
      <c r="Y55" s="2"/>
      <c r="Z55" s="2"/>
      <c r="AA55" s="2"/>
      <c r="AB55" s="2"/>
      <c r="AC55" s="2"/>
    </row>
    <row r="56" spans="2:29" ht="15.75">
      <c r="B56" s="2"/>
      <c r="C56" s="159"/>
      <c r="D56" s="159"/>
      <c r="E56" s="2"/>
      <c r="F56" s="2"/>
      <c r="G56" s="2"/>
      <c r="H56" s="2"/>
      <c r="I56" s="2"/>
      <c r="J56" s="2"/>
      <c r="K56" s="2"/>
      <c r="L56" s="2"/>
      <c r="M56" s="2"/>
      <c r="N56" s="2"/>
      <c r="O56" s="2"/>
      <c r="P56" s="2"/>
      <c r="Q56" s="2"/>
      <c r="R56" s="2"/>
      <c r="S56" s="2"/>
      <c r="T56" s="2"/>
      <c r="U56" s="2"/>
      <c r="V56" s="2"/>
      <c r="W56" s="2"/>
      <c r="X56" s="2"/>
      <c r="Y56" s="2"/>
      <c r="Z56" s="2"/>
      <c r="AA56" s="2"/>
      <c r="AB56" s="2"/>
      <c r="AC56" s="2"/>
    </row>
    <row r="57" spans="2:29" ht="15.75">
      <c r="B57" s="2"/>
      <c r="C57" s="159"/>
      <c r="D57" s="159"/>
      <c r="E57" s="2"/>
      <c r="F57" s="2"/>
      <c r="G57" s="2"/>
      <c r="H57" s="2"/>
      <c r="I57" s="2"/>
      <c r="J57" s="2"/>
      <c r="K57" s="2"/>
      <c r="L57" s="2"/>
      <c r="M57" s="2"/>
      <c r="N57" s="2"/>
      <c r="O57" s="2"/>
      <c r="P57" s="2"/>
      <c r="Q57" s="2"/>
      <c r="R57" s="2"/>
      <c r="S57" s="2"/>
      <c r="T57" s="2"/>
      <c r="U57" s="2"/>
      <c r="V57" s="2"/>
      <c r="W57" s="2"/>
      <c r="X57" s="2"/>
      <c r="Y57" s="2"/>
      <c r="Z57" s="2"/>
      <c r="AA57" s="2"/>
      <c r="AB57" s="2"/>
      <c r="AC57" s="2"/>
    </row>
    <row r="58" spans="2:29" ht="15.75">
      <c r="B58" s="2"/>
      <c r="C58" s="159"/>
      <c r="D58" s="159"/>
      <c r="E58" s="2"/>
      <c r="F58" s="2"/>
      <c r="G58" s="2"/>
      <c r="H58" s="2"/>
      <c r="I58" s="2"/>
      <c r="J58" s="2"/>
      <c r="K58" s="2"/>
      <c r="L58" s="2"/>
      <c r="M58" s="2"/>
      <c r="N58" s="2"/>
      <c r="O58" s="2"/>
      <c r="P58" s="2"/>
      <c r="Q58" s="2"/>
      <c r="R58" s="2"/>
      <c r="S58" s="2"/>
      <c r="T58" s="2"/>
      <c r="U58" s="2"/>
      <c r="V58" s="2"/>
      <c r="W58" s="2"/>
      <c r="X58" s="2"/>
      <c r="Y58" s="2"/>
      <c r="Z58" s="2"/>
      <c r="AA58" s="2"/>
      <c r="AB58" s="2"/>
      <c r="AC58" s="2"/>
    </row>
    <row r="59" spans="2:29" ht="15.75">
      <c r="B59" s="2"/>
      <c r="C59" s="159"/>
      <c r="D59" s="159"/>
      <c r="E59" s="2"/>
      <c r="F59" s="2"/>
      <c r="G59" s="2"/>
      <c r="H59" s="2"/>
      <c r="I59" s="2"/>
      <c r="J59" s="2"/>
      <c r="K59" s="2"/>
      <c r="L59" s="2"/>
      <c r="M59" s="2"/>
      <c r="N59" s="2"/>
      <c r="O59" s="2"/>
      <c r="P59" s="2"/>
      <c r="Q59" s="2"/>
      <c r="R59" s="2"/>
      <c r="S59" s="2"/>
      <c r="T59" s="2"/>
      <c r="U59" s="2"/>
      <c r="V59" s="2"/>
      <c r="W59" s="2"/>
      <c r="X59" s="2"/>
      <c r="Y59" s="2"/>
      <c r="Z59" s="2"/>
      <c r="AA59" s="2"/>
      <c r="AB59" s="2"/>
      <c r="AC59" s="2"/>
    </row>
    <row r="60" spans="2:29">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2:29">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29">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2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2:29">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2:29">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2:29">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2:29">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2:29">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2:29">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2:29">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2:29">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2:29">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2:29">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2:29">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2:29">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2:29">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2:29">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2:29">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29">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2:29">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2:29">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2:29">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2:29">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2:29">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2:29">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2:29">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2:29">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2:29">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2:29">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2:29">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2:29">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2:29">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2:29">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2:29">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2:29">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2:29">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2:29">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2:29">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2:29">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2:29">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sheetData>
  <mergeCells count="1">
    <mergeCell ref="F7:H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C2:P47"/>
  <sheetViews>
    <sheetView workbookViewId="0"/>
  </sheetViews>
  <sheetFormatPr defaultColWidth="11.42578125" defaultRowHeight="15"/>
  <cols>
    <col min="1" max="1" width="3.140625" customWidth="1"/>
    <col min="2" max="2" width="2.42578125" customWidth="1"/>
    <col min="3" max="3" width="35.42578125" customWidth="1"/>
    <col min="4" max="4" width="26.28515625" customWidth="1"/>
    <col min="5" max="5" width="19" customWidth="1"/>
    <col min="6" max="7" width="20.28515625" customWidth="1"/>
    <col min="9" max="9" width="25" customWidth="1"/>
    <col min="11" max="11" width="20.7109375" customWidth="1"/>
    <col min="12" max="12" width="16" customWidth="1"/>
  </cols>
  <sheetData>
    <row r="2" spans="3:10">
      <c r="C2" s="3"/>
    </row>
    <row r="3" spans="3:10" ht="21">
      <c r="C3" s="7" t="s">
        <v>24</v>
      </c>
      <c r="D3" s="8"/>
      <c r="E3" s="8"/>
      <c r="F3" s="8"/>
      <c r="G3" s="8"/>
      <c r="H3" s="8"/>
      <c r="I3" s="8"/>
    </row>
    <row r="4" spans="3:10" ht="15.75">
      <c r="C4" s="8" t="s">
        <v>302</v>
      </c>
      <c r="D4" s="8"/>
      <c r="E4" s="8"/>
      <c r="F4" s="8"/>
      <c r="G4" s="8"/>
      <c r="H4" s="8"/>
      <c r="I4" s="8"/>
    </row>
    <row r="5" spans="3:10" ht="15.75">
      <c r="C5" s="8"/>
      <c r="D5" s="8"/>
      <c r="E5" s="8"/>
      <c r="F5" s="8"/>
      <c r="G5" s="8"/>
      <c r="H5" s="8"/>
      <c r="I5" s="8"/>
    </row>
    <row r="6" spans="3:10" ht="15.75">
      <c r="C6" s="10" t="s">
        <v>25</v>
      </c>
      <c r="D6" s="11" t="s">
        <v>26</v>
      </c>
      <c r="E6" s="10" t="s">
        <v>222</v>
      </c>
      <c r="F6" s="10" t="s">
        <v>293</v>
      </c>
      <c r="G6" s="10" t="s">
        <v>294</v>
      </c>
      <c r="H6" s="19"/>
      <c r="I6" s="272" t="s">
        <v>33</v>
      </c>
      <c r="J6" s="272" t="s">
        <v>34</v>
      </c>
    </row>
    <row r="7" spans="3:10" ht="15.75">
      <c r="C7" s="12"/>
      <c r="D7" s="14"/>
      <c r="E7" s="12"/>
      <c r="F7" s="14"/>
      <c r="G7" s="12"/>
      <c r="H7" s="19"/>
    </row>
    <row r="8" spans="3:10" ht="15.75">
      <c r="C8" s="12" t="s">
        <v>256</v>
      </c>
      <c r="D8" s="270" t="s">
        <v>178</v>
      </c>
      <c r="E8" s="307">
        <f>SUM('2.Process Cost-Benefit'!F11:F51)</f>
        <v>590000</v>
      </c>
      <c r="F8" s="308"/>
      <c r="G8" s="308"/>
      <c r="H8" s="267"/>
    </row>
    <row r="9" spans="3:10" ht="15.75">
      <c r="C9" s="268"/>
      <c r="D9" s="270" t="s">
        <v>179</v>
      </c>
      <c r="E9" s="307">
        <f>'2.Process Cost-Benefit'!F60</f>
        <v>885000</v>
      </c>
      <c r="F9" s="307"/>
      <c r="G9" s="309"/>
      <c r="H9" s="266"/>
      <c r="I9" s="385" t="s">
        <v>287</v>
      </c>
      <c r="J9" s="385" t="s">
        <v>101</v>
      </c>
    </row>
    <row r="10" spans="3:10" ht="15.75">
      <c r="C10" s="268"/>
      <c r="D10" s="284" t="s">
        <v>7</v>
      </c>
      <c r="E10" s="307">
        <f>'2.Process Cost-Benefit'!F61</f>
        <v>100000</v>
      </c>
      <c r="F10" s="307"/>
      <c r="G10" s="309"/>
      <c r="H10" s="266"/>
    </row>
    <row r="11" spans="3:10" ht="15.75">
      <c r="C11" s="268"/>
      <c r="D11" s="270"/>
      <c r="E11" s="307"/>
      <c r="F11" s="307"/>
      <c r="G11" s="309"/>
      <c r="H11" s="266"/>
    </row>
    <row r="12" spans="3:10" ht="15.75">
      <c r="C12" s="389" t="s">
        <v>290</v>
      </c>
      <c r="D12" s="270" t="s">
        <v>30</v>
      </c>
      <c r="F12" s="307">
        <f>SUM('2.Process Cost-Benefit'!G12+'2.Process Cost-Benefit'!G19+'2.Process Cost-Benefit'!G26+'2.Process Cost-Benefit'!G32+'2.Process Cost-Benefit'!G39+'2.Process Cost-Benefit'!G45+'2.Process Cost-Benefit'!G52)</f>
        <v>82600.000000000015</v>
      </c>
      <c r="G12" s="309"/>
      <c r="H12" s="266"/>
    </row>
    <row r="13" spans="3:10" ht="15.75">
      <c r="C13" s="268"/>
      <c r="D13" s="270" t="s">
        <v>180</v>
      </c>
      <c r="E13" s="307"/>
      <c r="F13" s="307">
        <f>10%*E28</f>
        <v>157500</v>
      </c>
      <c r="G13" s="309"/>
      <c r="H13" s="266"/>
      <c r="I13" s="385" t="s">
        <v>191</v>
      </c>
      <c r="J13" s="385" t="s">
        <v>177</v>
      </c>
    </row>
    <row r="14" spans="3:10" ht="47.25">
      <c r="C14" s="268"/>
      <c r="D14" s="271" t="s">
        <v>182</v>
      </c>
      <c r="E14" s="310"/>
      <c r="F14" s="307">
        <f>10%*E28</f>
        <v>157500</v>
      </c>
      <c r="G14" s="309"/>
      <c r="H14" s="266"/>
      <c r="I14" s="395" t="s">
        <v>192</v>
      </c>
      <c r="J14" s="385" t="s">
        <v>177</v>
      </c>
    </row>
    <row r="15" spans="3:10" ht="15.75">
      <c r="C15" s="268"/>
      <c r="D15" s="270" t="s">
        <v>181</v>
      </c>
      <c r="E15" s="307"/>
      <c r="F15" s="307">
        <f>'2.Process Cost-Benefit'!G59</f>
        <v>437600</v>
      </c>
      <c r="G15" s="309"/>
      <c r="H15" s="266"/>
    </row>
    <row r="16" spans="3:10" ht="15.75">
      <c r="C16" s="268"/>
      <c r="D16" s="270"/>
      <c r="E16" s="307"/>
      <c r="F16" s="307"/>
      <c r="G16" s="309"/>
      <c r="H16" s="266"/>
    </row>
    <row r="17" spans="3:10" ht="14.1" customHeight="1">
      <c r="C17" s="389" t="s">
        <v>299</v>
      </c>
      <c r="D17" s="270" t="s">
        <v>1</v>
      </c>
      <c r="E17" s="307"/>
      <c r="F17" s="307">
        <f>'2.Process Cost-Benefit'!H15</f>
        <v>19440750</v>
      </c>
      <c r="G17" s="309"/>
      <c r="H17" s="266"/>
    </row>
    <row r="18" spans="3:10" ht="15.75">
      <c r="C18" s="268"/>
      <c r="D18" s="270" t="s">
        <v>28</v>
      </c>
      <c r="E18" s="307"/>
      <c r="F18" s="307">
        <f>'2.Process Cost-Benefit'!H55</f>
        <v>0</v>
      </c>
      <c r="G18" s="309"/>
      <c r="H18" s="266"/>
    </row>
    <row r="19" spans="3:10" ht="15.75">
      <c r="C19" s="268"/>
      <c r="D19" s="270" t="s">
        <v>22</v>
      </c>
      <c r="E19" s="307"/>
      <c r="F19" s="307">
        <f>SUM('2.Process Cost-Benefit'!H14+'2.Process Cost-Benefit'!H29+'2.Process Cost-Benefit'!H34+'2.Process Cost-Benefit'!H41+'2.Process Cost-Benefit'!H47+'2.Process Cost-Benefit'!H54)</f>
        <v>237471.34539877297</v>
      </c>
      <c r="G19" s="309"/>
      <c r="H19" s="266"/>
    </row>
    <row r="20" spans="3:10" ht="15.75">
      <c r="C20" s="268"/>
      <c r="D20" s="270" t="s">
        <v>21</v>
      </c>
      <c r="E20" s="307"/>
      <c r="F20" s="307">
        <f>SUM('2.Process Cost-Benefit'!H13+'2.Process Cost-Benefit'!H20+'2.Process Cost-Benefit'!H28+'2.Process Cost-Benefit'!H33+'2.Process Cost-Benefit'!H40+'2.Process Cost-Benefit'!H46+'2.Process Cost-Benefit'!H53)</f>
        <v>9702686.9039808586</v>
      </c>
      <c r="G20" s="309"/>
      <c r="H20" s="266"/>
    </row>
    <row r="21" spans="3:10" ht="15.75">
      <c r="C21" s="268"/>
      <c r="D21" s="388" t="s">
        <v>257</v>
      </c>
      <c r="E21" s="443"/>
      <c r="F21" s="443">
        <f>'2.Process Cost-Benefit'!H62</f>
        <v>565077.80000000005</v>
      </c>
      <c r="G21" s="309"/>
      <c r="H21" s="266"/>
    </row>
    <row r="22" spans="3:10" ht="15.75">
      <c r="C22" s="268"/>
      <c r="D22" s="388" t="s">
        <v>348</v>
      </c>
      <c r="E22" s="307"/>
      <c r="F22" s="307">
        <f>'2.Process Cost-Benefit'!H63</f>
        <v>1186842.2826073617</v>
      </c>
      <c r="G22" s="309"/>
      <c r="H22" s="266"/>
    </row>
    <row r="23" spans="3:10" ht="15.75">
      <c r="C23" s="268"/>
      <c r="D23" s="270"/>
      <c r="E23" s="307"/>
      <c r="F23" s="307"/>
      <c r="G23" s="309"/>
      <c r="H23" s="266"/>
    </row>
    <row r="24" spans="3:10" ht="15.75">
      <c r="C24" s="389" t="s">
        <v>300</v>
      </c>
      <c r="D24" s="270" t="s">
        <v>4</v>
      </c>
      <c r="E24" s="307"/>
      <c r="F24" s="307"/>
      <c r="G24" s="309">
        <f>'2.Process Cost-Benefit'!I48</f>
        <v>4722002.6489999983</v>
      </c>
      <c r="H24" s="266"/>
    </row>
    <row r="25" spans="3:10" ht="15.75">
      <c r="C25" s="268"/>
      <c r="D25" s="270" t="s">
        <v>183</v>
      </c>
      <c r="E25" s="307"/>
      <c r="F25" s="307"/>
      <c r="G25" s="309">
        <f>'2.Process Cost-Benefit'!I22</f>
        <v>5247809.8159509199</v>
      </c>
      <c r="H25" s="266"/>
    </row>
    <row r="26" spans="3:10" ht="15.75">
      <c r="C26" s="268"/>
      <c r="D26" s="270" t="s">
        <v>57</v>
      </c>
      <c r="E26" s="307"/>
      <c r="F26" s="307"/>
      <c r="G26" s="309">
        <f>'2.Process Cost-Benefit'!I56</f>
        <v>0</v>
      </c>
      <c r="H26" s="266"/>
    </row>
    <row r="27" spans="3:10" ht="16.5" thickBot="1">
      <c r="C27" s="438"/>
      <c r="D27" s="439"/>
      <c r="E27" s="444"/>
      <c r="F27" s="444"/>
      <c r="G27" s="445"/>
      <c r="H27" s="19"/>
    </row>
    <row r="28" spans="3:10" ht="16.5" thickTop="1">
      <c r="C28" s="436" t="s">
        <v>31</v>
      </c>
      <c r="D28" s="436"/>
      <c r="E28" s="437">
        <f>SUM(E8:E10)</f>
        <v>1575000</v>
      </c>
      <c r="F28" s="437">
        <f>SUM(F7:F27)</f>
        <v>31968028.331986994</v>
      </c>
      <c r="G28" s="437">
        <f>SUM(G7:G27)</f>
        <v>9969812.4649509192</v>
      </c>
      <c r="H28" s="269"/>
    </row>
    <row r="29" spans="3:10" ht="15.75">
      <c r="C29" s="5"/>
      <c r="D29" s="19"/>
      <c r="E29" s="19"/>
      <c r="F29" s="101"/>
      <c r="G29" s="101"/>
      <c r="H29" s="101"/>
    </row>
    <row r="30" spans="3:10" ht="15.75">
      <c r="C30" s="35" t="s">
        <v>230</v>
      </c>
      <c r="D30" s="104">
        <f>G28</f>
        <v>9969812.4649509192</v>
      </c>
      <c r="E30" s="104"/>
      <c r="F30" s="19"/>
      <c r="G30" s="19"/>
      <c r="H30" s="19"/>
      <c r="I30" s="19"/>
      <c r="J30" s="8"/>
    </row>
    <row r="31" spans="3:10" ht="31.5">
      <c r="C31" s="367" t="s">
        <v>286</v>
      </c>
      <c r="D31" s="104">
        <f>G28-F28</f>
        <v>-21998215.867036074</v>
      </c>
      <c r="E31" s="104"/>
      <c r="F31" s="19"/>
      <c r="G31" s="19"/>
      <c r="H31" s="19"/>
      <c r="I31" s="19"/>
      <c r="J31" s="8"/>
    </row>
    <row r="32" spans="3:10" ht="15.75">
      <c r="C32" s="51" t="s">
        <v>258</v>
      </c>
      <c r="D32" s="105">
        <f>E28</f>
        <v>1575000</v>
      </c>
      <c r="E32" s="105"/>
    </row>
    <row r="33" spans="3:16" ht="15.75">
      <c r="C33" s="35"/>
      <c r="D33" s="106"/>
      <c r="E33" s="106"/>
    </row>
    <row r="35" spans="3:16" ht="15.75">
      <c r="C35" s="107"/>
    </row>
    <row r="43" spans="3:16" ht="15.75">
      <c r="C43" s="160"/>
      <c r="D43" s="160"/>
      <c r="E43" s="160"/>
      <c r="F43" s="160"/>
      <c r="G43" s="160"/>
      <c r="H43" s="160"/>
      <c r="I43" s="160"/>
      <c r="J43" s="160"/>
      <c r="K43" s="160"/>
      <c r="L43" s="160"/>
      <c r="M43" s="160"/>
      <c r="N43" s="160"/>
      <c r="O43" s="160"/>
      <c r="P43" s="160"/>
    </row>
    <row r="44" spans="3:16" ht="15.75">
      <c r="C44" s="160"/>
      <c r="D44" s="160"/>
      <c r="E44" s="160"/>
      <c r="F44" s="160"/>
      <c r="G44" s="160"/>
      <c r="H44" s="160"/>
      <c r="I44" s="160"/>
      <c r="J44" s="160"/>
      <c r="K44" s="160"/>
      <c r="L44" s="160"/>
      <c r="M44" s="160"/>
      <c r="N44" s="160"/>
      <c r="O44" s="160"/>
      <c r="P44" s="160"/>
    </row>
    <row r="45" spans="3:16" ht="15.75">
      <c r="C45" s="160"/>
      <c r="D45" s="160"/>
      <c r="E45" s="160"/>
      <c r="F45" s="160"/>
      <c r="G45" s="160"/>
      <c r="H45" s="160"/>
      <c r="I45" s="160"/>
      <c r="J45" s="160"/>
      <c r="K45" s="160"/>
      <c r="L45" s="160"/>
      <c r="M45" s="160"/>
      <c r="N45" s="160"/>
      <c r="O45" s="160"/>
      <c r="P45" s="160"/>
    </row>
    <row r="46" spans="3:16" ht="15.75">
      <c r="C46" s="160"/>
      <c r="D46" s="160"/>
      <c r="E46" s="160"/>
      <c r="F46" s="161"/>
      <c r="G46" s="161"/>
      <c r="H46" s="161"/>
      <c r="I46" s="161"/>
      <c r="J46" s="161"/>
      <c r="K46" s="160"/>
      <c r="L46" s="160"/>
      <c r="M46" s="160"/>
      <c r="N46" s="160"/>
      <c r="O46" s="160"/>
      <c r="P46" s="160"/>
    </row>
    <row r="47" spans="3:16" ht="15.75">
      <c r="C47" s="160"/>
      <c r="D47" s="160"/>
      <c r="E47" s="160"/>
      <c r="F47" s="160"/>
      <c r="G47" s="160"/>
      <c r="H47" s="160"/>
      <c r="I47" s="160"/>
      <c r="J47" s="160"/>
      <c r="K47" s="160"/>
      <c r="L47" s="160"/>
      <c r="M47" s="160"/>
      <c r="N47" s="160"/>
      <c r="O47" s="160"/>
      <c r="P47" s="160"/>
    </row>
  </sheetData>
  <conditionalFormatting sqref="D30:E31">
    <cfRule type="colorScale" priority="2">
      <colorScale>
        <cfvo type="num" val="&quot;&lt;0&quot;"/>
        <cfvo type="num" val="&quot;&gt;0&quot;"/>
        <color rgb="FFFF0000"/>
        <color theme="6" tint="0.39997558519241921"/>
      </colorScale>
    </cfRule>
  </conditionalFormatting>
  <conditionalFormatting sqref="D30:D32">
    <cfRule type="cellIs" dxfId="1" priority="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Readme</vt:lpstr>
      <vt:lpstr>Scenarios Output</vt:lpstr>
      <vt:lpstr>Variables</vt:lpstr>
      <vt:lpstr>Grass Processing</vt:lpstr>
      <vt:lpstr>1.Output</vt:lpstr>
      <vt:lpstr>1.Financial Output</vt:lpstr>
      <vt:lpstr>1.Machine Processing</vt:lpstr>
      <vt:lpstr>1.Process Cost-Benefit</vt:lpstr>
      <vt:lpstr>2.Output </vt:lpstr>
      <vt:lpstr>2.Financial Output</vt:lpstr>
      <vt:lpstr>2.Machine Processing</vt:lpstr>
      <vt:lpstr>2.Process Cost-Benefit</vt:lpstr>
      <vt:lpstr>3.Output </vt:lpstr>
      <vt:lpstr>3.Financial Output </vt:lpstr>
      <vt:lpstr>3.Machine Processing </vt:lpstr>
      <vt:lpstr>3.Process Cost-Benefit</vt:lpstr>
      <vt:lpstr>Readme!_Toc393906061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2014-07-14T08:23:27Z</cp:lastPrinted>
  <dcterms:created xsi:type="dcterms:W3CDTF">2006-09-16T00:00:00Z</dcterms:created>
  <dcterms:modified xsi:type="dcterms:W3CDTF">2014-07-31T10:29:55Z</dcterms:modified>
</cp:coreProperties>
</file>